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tables/table6.xml" ContentType="application/vnd.openxmlformats-officedocument.spreadsheetml.table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showInkAnnotation="0"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mmunications and Legislative\Policy &amp; Legislative Affairs\TSDAC\2026 Meetings\6 - June\"/>
    </mc:Choice>
  </mc:AlternateContent>
  <xr:revisionPtr revIDLastSave="0" documentId="8_{B8366227-FE9D-40FB-BB56-F4A5175AD6D0}" xr6:coauthVersionLast="47" xr6:coauthVersionMax="47" xr10:uidLastSave="{00000000-0000-0000-0000-000000000000}"/>
  <bookViews>
    <workbookView xWindow="-110" yWindow="-110" windowWidth="19420" windowHeight="11500" tabRatio="809" xr2:uid="{00000000-000D-0000-FFFF-FFFF00000000}"/>
  </bookViews>
  <sheets>
    <sheet name="Assumptions" sheetId="132" r:id="rId1"/>
    <sheet name="LargeUrban" sheetId="129" r:id="rId2"/>
    <sheet name="SmallUrban" sheetId="134" r:id="rId3"/>
    <sheet name="Rural" sheetId="135" r:id="rId4"/>
    <sheet name="PMT" sheetId="136" state="hidden" r:id="rId5"/>
    <sheet name="Ridership" sheetId="113" state="hidden" r:id="rId6"/>
    <sheet name="Revenue Hours" sheetId="114" state="hidden" r:id="rId7"/>
    <sheet name="Revenue Hours - Sizing" sheetId="123" state="hidden" r:id="rId8"/>
    <sheet name="Revenue Miles" sheetId="115" state="hidden" r:id="rId9"/>
    <sheet name="Revenue Miles - Sizing" sheetId="124" state="hidden" r:id="rId10"/>
    <sheet name="Op Cost - Performance" sheetId="121" state="hidden" r:id="rId11"/>
    <sheet name="Allocation Calculations_FY27" sheetId="119" state="hidden" r:id="rId12"/>
    <sheet name="Allocation Calculations_FY26" sheetId="137" state="hidden" r:id="rId13"/>
    <sheet name="Allocation Calculations_FY25" sheetId="138" state="hidden" r:id="rId14"/>
    <sheet name="Op Cost - Sizing (Reimbursable)" sheetId="120" state="hidden" r:id="rId15"/>
    <sheet name="Op Cost for Performance" sheetId="125" state="hidden" r:id="rId16"/>
    <sheet name="Order Key" sheetId="122" state="hidden" r:id="rId17"/>
    <sheet name="Commuter Rail Pool" sheetId="116" state="hidden" r:id="rId18"/>
  </sheets>
  <definedNames>
    <definedName name="_1__123Graph_ACHART_37" localSheetId="13" hidden="1">#REF!</definedName>
    <definedName name="_1__123Graph_ACHART_37" hidden="1">#REF!</definedName>
    <definedName name="_2__123Graph_BCHART_37" localSheetId="13" hidden="1">#REF!</definedName>
    <definedName name="_2__123Graph_BCHART_37" hidden="1">#REF!</definedName>
    <definedName name="_3__123Graph_CCHART_37" localSheetId="13" hidden="1">#REF!</definedName>
    <definedName name="_3__123Graph_CCHART_37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8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8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13" hidden="1">'Allocation Calculations_FY25'!$A$8:$CC$8</definedName>
    <definedName name="_xlnm._FilterDatabase" localSheetId="12" hidden="1">'Allocation Calculations_FY26'!$A$11:$CC$11</definedName>
    <definedName name="_xlnm._FilterDatabase" localSheetId="11" hidden="1">'Allocation Calculations_FY27'!$A$11:$CC$11</definedName>
    <definedName name="_xlnm._FilterDatabase" localSheetId="17" hidden="1">'Commuter Rail Pool'!$A$8:$E$49</definedName>
    <definedName name="_Order1" hidden="1">0</definedName>
    <definedName name="_Order2" hidden="1">255</definedName>
    <definedName name="Demonstration_Program_Approved" localSheetId="13">#REF!</definedName>
    <definedName name="Demonstration_Program_Approved">#REF!</definedName>
    <definedName name="Districts_Summary" localSheetId="13">#REF!</definedName>
    <definedName name="Districts_Summary">#REF!</definedName>
    <definedName name="Interns_Approved" localSheetId="13">#REF!</definedName>
    <definedName name="Interns_Approved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Large_Urban_Capital">#REF!</definedName>
    <definedName name="Nonurban_Capital">#REF!</definedName>
    <definedName name="Pal_Workbook_GUID" hidden="1">"PV8GPTPHTGTVXMW4LKC2SKTR"</definedName>
    <definedName name="_xlnm.Print_Area" localSheetId="1">LargeUrban!$A$1:$N$32</definedName>
    <definedName name="_xlnm.Print_Area" localSheetId="3">Rural!$A$1:$N$35</definedName>
    <definedName name="_xlnm.Print_Area" localSheetId="2">SmallUrban!$A$1:$N$23</definedName>
    <definedName name="Richmond" localSheetId="13">#REF!</definedName>
    <definedName name="Richmond">#REF!</definedName>
    <definedName name="Richmond_Main_Street_Station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lem" localSheetId="13">#REF!</definedName>
    <definedName name="Salem">#REF!</definedName>
    <definedName name="Small_Urban_Capital">#REF!</definedName>
    <definedName name="SpProjFundBal" localSheetId="13">#REF!</definedName>
    <definedName name="SpProjFundBal">#REF!</definedName>
    <definedName name="State_TDM_RS_Approved" localSheetId="13">#REF!</definedName>
    <definedName name="State_TDM_RS_Approved">#REF!</definedName>
    <definedName name="State_TDM_RS_Grants" localSheetId="13">#REF!</definedName>
    <definedName name="State_TDM_RS_Grants">#REF!</definedName>
    <definedName name="StateFundSources">#REF!</definedName>
    <definedName name="StateFundSrcs" localSheetId="13">#REF!</definedName>
    <definedName name="StateFundSrcs" localSheetId="12">#REF!</definedName>
    <definedName name="StateFundSrcs">#REF!</definedName>
    <definedName name="Staunton" localSheetId="13">#REF!</definedName>
    <definedName name="Staunton">#REF!</definedName>
    <definedName name="Tech_Assist_Approved" localSheetId="13">#REF!</definedName>
    <definedName name="Tech_Assist_Approved">#REF!</definedName>
    <definedName name="TEIF_Approved" localSheetId="13">#REF!</definedName>
    <definedName name="TEIF_Approved">#REF!</definedName>
    <definedName name="TRIP2" localSheetId="13">#REF!</definedName>
    <definedName name="TRIP2">#REF!</definedName>
    <definedName name="x" localSheetId="13">#REF!</definedName>
    <definedName name="x">#REF!</definedName>
    <definedName name="Z_94D8ABD2_F813_4BD2_AD55_22BDD5D9923A_.wvu.Cols" localSheetId="13" hidden="1">'Allocation Calculations_FY25'!$X:$AK</definedName>
    <definedName name="Z_94D8ABD2_F813_4BD2_AD55_22BDD5D9923A_.wvu.Cols" localSheetId="12" hidden="1">'Allocation Calculations_FY26'!$Y:$AL</definedName>
    <definedName name="Z_94D8ABD2_F813_4BD2_AD55_22BDD5D9923A_.wvu.Cols" localSheetId="11" hidden="1">'Allocation Calculations_FY27'!$Y:$AL</definedName>
    <definedName name="Z_94D8ABD2_F813_4BD2_AD55_22BDD5D9923A_.wvu.Cols" localSheetId="17" hidden="1">'Commuter Rail Pool'!#REF!</definedName>
    <definedName name="Z_94D8ABD2_F813_4BD2_AD55_22BDD5D9923A_.wvu.PrintArea" localSheetId="13" hidden="1">'Allocation Calculations_FY25'!$A$1:$W$49</definedName>
    <definedName name="Z_94D8ABD2_F813_4BD2_AD55_22BDD5D9923A_.wvu.PrintArea" localSheetId="12" hidden="1">'Allocation Calculations_FY26'!$A$1:$X$50</definedName>
    <definedName name="Z_94D8ABD2_F813_4BD2_AD55_22BDD5D9923A_.wvu.PrintArea" localSheetId="11" hidden="1">'Allocation Calculations_FY27'!$A$1:$X$51</definedName>
    <definedName name="Z_94D8ABD2_F813_4BD2_AD55_22BDD5D9923A_.wvu.PrintArea" localSheetId="17" hidden="1">'Commuter Rail Pool'!$A$1:$E$49</definedName>
    <definedName name="Z_B2E70C88_7433_47A3_885C_FE173A612781_.wvu.Cols" localSheetId="13" hidden="1">'Allocation Calculations_FY25'!$X:$AK</definedName>
    <definedName name="Z_B2E70C88_7433_47A3_885C_FE173A612781_.wvu.Cols" localSheetId="12" hidden="1">'Allocation Calculations_FY26'!$Y:$AL</definedName>
    <definedName name="Z_B2E70C88_7433_47A3_885C_FE173A612781_.wvu.Cols" localSheetId="11" hidden="1">'Allocation Calculations_FY27'!$Y:$AL</definedName>
    <definedName name="Z_B2E70C88_7433_47A3_885C_FE173A612781_.wvu.Cols" localSheetId="17" hidden="1">'Commuter Rail Pool'!#REF!</definedName>
    <definedName name="Z_B2E70C88_7433_47A3_885C_FE173A612781_.wvu.PrintArea" localSheetId="13" hidden="1">'Allocation Calculations_FY25'!$A$1:$W$49</definedName>
    <definedName name="Z_B2E70C88_7433_47A3_885C_FE173A612781_.wvu.PrintArea" localSheetId="12" hidden="1">'Allocation Calculations_FY26'!$A$1:$X$50</definedName>
    <definedName name="Z_B2E70C88_7433_47A3_885C_FE173A612781_.wvu.PrintArea" localSheetId="11" hidden="1">'Allocation Calculations_FY27'!$A$1:$X$51</definedName>
    <definedName name="Z_B2E70C88_7433_47A3_885C_FE173A612781_.wvu.PrintArea" localSheetId="17" hidden="1">'Commuter Rail Pool'!$A$1:$E$49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8" i="135" l="1"/>
  <c r="H19" i="135"/>
  <c r="Z13" i="135"/>
  <c r="F23" i="135"/>
  <c r="D5" i="132"/>
  <c r="C11" i="132" l="1"/>
  <c r="R55" i="129"/>
  <c r="S55" i="129"/>
  <c r="R56" i="129"/>
  <c r="S56" i="129"/>
  <c r="R57" i="129"/>
  <c r="S57" i="129"/>
  <c r="R58" i="129"/>
  <c r="S58" i="129"/>
  <c r="R59" i="129"/>
  <c r="S59" i="129"/>
  <c r="R60" i="129"/>
  <c r="S60" i="129"/>
  <c r="R61" i="129"/>
  <c r="S61" i="129"/>
  <c r="R62" i="129"/>
  <c r="S62" i="129"/>
  <c r="R63" i="129"/>
  <c r="S63" i="129"/>
  <c r="S54" i="129"/>
  <c r="R54" i="129"/>
  <c r="R48" i="134"/>
  <c r="S48" i="134"/>
  <c r="R49" i="134"/>
  <c r="S49" i="134"/>
  <c r="R50" i="134"/>
  <c r="S50" i="134"/>
  <c r="R51" i="134"/>
  <c r="S51" i="134"/>
  <c r="R52" i="134"/>
  <c r="S52" i="134"/>
  <c r="R53" i="134"/>
  <c r="S53" i="134"/>
  <c r="R54" i="134"/>
  <c r="S54" i="134"/>
  <c r="R55" i="134"/>
  <c r="S55" i="134"/>
  <c r="S47" i="134"/>
  <c r="R47" i="134"/>
  <c r="S88" i="135"/>
  <c r="R88" i="135"/>
  <c r="S87" i="135"/>
  <c r="R87" i="135"/>
  <c r="S86" i="135"/>
  <c r="R86" i="135"/>
  <c r="S85" i="135"/>
  <c r="R85" i="135"/>
  <c r="S84" i="135"/>
  <c r="R84" i="135"/>
  <c r="S83" i="135"/>
  <c r="R83" i="135"/>
  <c r="S82" i="135"/>
  <c r="R82" i="135"/>
  <c r="S81" i="135"/>
  <c r="R81" i="135"/>
  <c r="S80" i="135"/>
  <c r="R80" i="135"/>
  <c r="S79" i="135"/>
  <c r="R79" i="135"/>
  <c r="S78" i="135"/>
  <c r="R78" i="135"/>
  <c r="S77" i="135"/>
  <c r="R77" i="135"/>
  <c r="S76" i="135"/>
  <c r="R76" i="135"/>
  <c r="S75" i="135"/>
  <c r="R75" i="135"/>
  <c r="S74" i="135"/>
  <c r="R74" i="135"/>
  <c r="S73" i="135"/>
  <c r="R73" i="135"/>
  <c r="S72" i="135"/>
  <c r="R72" i="135"/>
  <c r="S71" i="135"/>
  <c r="R71" i="135"/>
  <c r="S70" i="135"/>
  <c r="R70" i="135"/>
  <c r="S69" i="135"/>
  <c r="R69" i="135"/>
  <c r="R42" i="135"/>
  <c r="S42" i="135"/>
  <c r="R43" i="135"/>
  <c r="S43" i="135"/>
  <c r="R44" i="135"/>
  <c r="S44" i="135"/>
  <c r="R45" i="135"/>
  <c r="S45" i="135"/>
  <c r="R46" i="135"/>
  <c r="S46" i="135"/>
  <c r="R47" i="135"/>
  <c r="S47" i="135"/>
  <c r="R48" i="135"/>
  <c r="S48" i="135"/>
  <c r="R49" i="135"/>
  <c r="S49" i="135"/>
  <c r="R50" i="135"/>
  <c r="S50" i="135"/>
  <c r="R51" i="135"/>
  <c r="S51" i="135"/>
  <c r="R52" i="135"/>
  <c r="S52" i="135"/>
  <c r="R53" i="135"/>
  <c r="S53" i="135"/>
  <c r="R54" i="135"/>
  <c r="S54" i="135"/>
  <c r="R55" i="135"/>
  <c r="S55" i="135"/>
  <c r="R56" i="135"/>
  <c r="S56" i="135"/>
  <c r="R57" i="135"/>
  <c r="S57" i="135"/>
  <c r="R58" i="135"/>
  <c r="S58" i="135"/>
  <c r="R59" i="135"/>
  <c r="S59" i="135"/>
  <c r="R60" i="135"/>
  <c r="S60" i="135"/>
  <c r="S41" i="135"/>
  <c r="R41" i="135"/>
  <c r="R14" i="135"/>
  <c r="S14" i="135"/>
  <c r="R15" i="135"/>
  <c r="S15" i="135"/>
  <c r="R16" i="135"/>
  <c r="S16" i="135"/>
  <c r="R17" i="135"/>
  <c r="S17" i="135"/>
  <c r="R18" i="135"/>
  <c r="S18" i="135"/>
  <c r="R19" i="135"/>
  <c r="S19" i="135"/>
  <c r="R20" i="135"/>
  <c r="S20" i="135"/>
  <c r="R21" i="135"/>
  <c r="S21" i="135"/>
  <c r="R22" i="135"/>
  <c r="S22" i="135"/>
  <c r="R23" i="135"/>
  <c r="S23" i="135"/>
  <c r="R24" i="135"/>
  <c r="S24" i="135"/>
  <c r="R25" i="135"/>
  <c r="S25" i="135"/>
  <c r="R26" i="135"/>
  <c r="S26" i="135"/>
  <c r="R27" i="135"/>
  <c r="S27" i="135"/>
  <c r="R28" i="135"/>
  <c r="S28" i="135"/>
  <c r="R29" i="135"/>
  <c r="S29" i="135"/>
  <c r="R30" i="135"/>
  <c r="S30" i="135"/>
  <c r="R31" i="135"/>
  <c r="S31" i="135"/>
  <c r="R32" i="135"/>
  <c r="S32" i="135"/>
  <c r="S13" i="135"/>
  <c r="R13" i="135"/>
  <c r="R31" i="134"/>
  <c r="S31" i="134"/>
  <c r="R32" i="134"/>
  <c r="S32" i="134"/>
  <c r="R33" i="134"/>
  <c r="S33" i="134"/>
  <c r="R34" i="134"/>
  <c r="S34" i="134"/>
  <c r="R35" i="134"/>
  <c r="S35" i="134"/>
  <c r="R36" i="134"/>
  <c r="S36" i="134"/>
  <c r="R37" i="134"/>
  <c r="S37" i="134"/>
  <c r="R38" i="134"/>
  <c r="S38" i="134"/>
  <c r="S30" i="134"/>
  <c r="R30" i="134"/>
  <c r="R14" i="134"/>
  <c r="S14" i="134"/>
  <c r="R15" i="134"/>
  <c r="S15" i="134"/>
  <c r="R16" i="134"/>
  <c r="S16" i="134"/>
  <c r="R17" i="134"/>
  <c r="S17" i="134"/>
  <c r="R18" i="134"/>
  <c r="S18" i="134"/>
  <c r="R19" i="134"/>
  <c r="S19" i="134"/>
  <c r="R20" i="134"/>
  <c r="S20" i="134"/>
  <c r="R21" i="134"/>
  <c r="S21" i="134"/>
  <c r="S13" i="134"/>
  <c r="R13" i="134"/>
  <c r="R37" i="129"/>
  <c r="S37" i="129"/>
  <c r="R38" i="129"/>
  <c r="S38" i="129"/>
  <c r="R39" i="129"/>
  <c r="S39" i="129"/>
  <c r="R40" i="129"/>
  <c r="S40" i="129"/>
  <c r="R41" i="129"/>
  <c r="S41" i="129"/>
  <c r="R42" i="129"/>
  <c r="S42" i="129"/>
  <c r="R43" i="129"/>
  <c r="S43" i="129"/>
  <c r="R44" i="129"/>
  <c r="S44" i="129"/>
  <c r="R45" i="129"/>
  <c r="S45" i="129"/>
  <c r="S36" i="129"/>
  <c r="R36" i="129"/>
  <c r="S24" i="129"/>
  <c r="R24" i="129"/>
  <c r="S23" i="129"/>
  <c r="R23" i="129"/>
  <c r="S22" i="129"/>
  <c r="R22" i="129"/>
  <c r="S21" i="129"/>
  <c r="R21" i="129"/>
  <c r="S20" i="129"/>
  <c r="R20" i="129"/>
  <c r="S19" i="129"/>
  <c r="R19" i="129"/>
  <c r="S18" i="129"/>
  <c r="R18" i="129"/>
  <c r="S17" i="129"/>
  <c r="R17" i="129"/>
  <c r="S16" i="129"/>
  <c r="R16" i="129"/>
  <c r="S15" i="129"/>
  <c r="R15" i="129"/>
  <c r="D23" i="132"/>
  <c r="E29" i="132" s="1"/>
  <c r="D14" i="132"/>
  <c r="E20" i="132" s="1"/>
  <c r="E11" i="132"/>
  <c r="AC88" i="135"/>
  <c r="AB88" i="135"/>
  <c r="AC87" i="135"/>
  <c r="AB87" i="135"/>
  <c r="AC86" i="135"/>
  <c r="AB86" i="135"/>
  <c r="AC85" i="135"/>
  <c r="AB85" i="135"/>
  <c r="AC84" i="135"/>
  <c r="AB84" i="135"/>
  <c r="AC83" i="135"/>
  <c r="AB83" i="135"/>
  <c r="AC82" i="135"/>
  <c r="AB82" i="135"/>
  <c r="AC81" i="135"/>
  <c r="AB81" i="135"/>
  <c r="AC80" i="135"/>
  <c r="AB80" i="135"/>
  <c r="AC79" i="135"/>
  <c r="AB79" i="135"/>
  <c r="AC78" i="135"/>
  <c r="AB78" i="135"/>
  <c r="AC77" i="135"/>
  <c r="AB77" i="135"/>
  <c r="AC76" i="135"/>
  <c r="AB76" i="135"/>
  <c r="AC75" i="135"/>
  <c r="AB75" i="135"/>
  <c r="AC74" i="135"/>
  <c r="AB74" i="135"/>
  <c r="AC73" i="135"/>
  <c r="AB73" i="135"/>
  <c r="AC72" i="135"/>
  <c r="AB72" i="135"/>
  <c r="AC71" i="135"/>
  <c r="AB71" i="135"/>
  <c r="AC70" i="135"/>
  <c r="AB70" i="135"/>
  <c r="AC69" i="135"/>
  <c r="AB69" i="135"/>
  <c r="AC60" i="135"/>
  <c r="AB60" i="135"/>
  <c r="AC59" i="135"/>
  <c r="AB59" i="135"/>
  <c r="AC58" i="135"/>
  <c r="AB58" i="135"/>
  <c r="AC57" i="135"/>
  <c r="AB57" i="135"/>
  <c r="AC56" i="135"/>
  <c r="AB56" i="135"/>
  <c r="AC55" i="135"/>
  <c r="AB55" i="135"/>
  <c r="AC54" i="135"/>
  <c r="AB54" i="135"/>
  <c r="AC53" i="135"/>
  <c r="AB53" i="135"/>
  <c r="AC52" i="135"/>
  <c r="AB52" i="135"/>
  <c r="AC51" i="135"/>
  <c r="AB51" i="135"/>
  <c r="AC50" i="135"/>
  <c r="AB50" i="135"/>
  <c r="AC49" i="135"/>
  <c r="AB49" i="135"/>
  <c r="AC48" i="135"/>
  <c r="AB48" i="135"/>
  <c r="AC47" i="135"/>
  <c r="AB47" i="135"/>
  <c r="AC46" i="135"/>
  <c r="AB46" i="135"/>
  <c r="AC45" i="135"/>
  <c r="AB45" i="135"/>
  <c r="AC44" i="135"/>
  <c r="AB44" i="135"/>
  <c r="AC43" i="135"/>
  <c r="AB43" i="135"/>
  <c r="AC42" i="135"/>
  <c r="AB42" i="135"/>
  <c r="AC41" i="135"/>
  <c r="AB41" i="135"/>
  <c r="AC32" i="135"/>
  <c r="AB32" i="135"/>
  <c r="AC31" i="135"/>
  <c r="AB31" i="135"/>
  <c r="AC30" i="135"/>
  <c r="AB30" i="135"/>
  <c r="AC29" i="135"/>
  <c r="AB29" i="135"/>
  <c r="AC28" i="135"/>
  <c r="AB28" i="135"/>
  <c r="AC27" i="135"/>
  <c r="AB27" i="135"/>
  <c r="AC26" i="135"/>
  <c r="AB26" i="135"/>
  <c r="AC25" i="135"/>
  <c r="AB25" i="135"/>
  <c r="AC24" i="135"/>
  <c r="AB24" i="135"/>
  <c r="AC23" i="135"/>
  <c r="AB23" i="135"/>
  <c r="AC22" i="135"/>
  <c r="AB22" i="135"/>
  <c r="AC21" i="135"/>
  <c r="AB21" i="135"/>
  <c r="AC20" i="135"/>
  <c r="AB20" i="135"/>
  <c r="AC19" i="135"/>
  <c r="AB19" i="135"/>
  <c r="AC18" i="135"/>
  <c r="AB18" i="135"/>
  <c r="AC17" i="135"/>
  <c r="AB17" i="135"/>
  <c r="AC16" i="135"/>
  <c r="AB16" i="135"/>
  <c r="AC15" i="135"/>
  <c r="AB15" i="135"/>
  <c r="AC14" i="135"/>
  <c r="AB14" i="135"/>
  <c r="AC13" i="135"/>
  <c r="AB13" i="135"/>
  <c r="AK55" i="134"/>
  <c r="AK54" i="134"/>
  <c r="AK53" i="134"/>
  <c r="AK52" i="134"/>
  <c r="AK51" i="134"/>
  <c r="AK50" i="134"/>
  <c r="AK49" i="134"/>
  <c r="AK48" i="134"/>
  <c r="AK47" i="134"/>
  <c r="AD55" i="134"/>
  <c r="AK36" i="134"/>
  <c r="AK35" i="134"/>
  <c r="AK34" i="134"/>
  <c r="AK32" i="134"/>
  <c r="AK30" i="134"/>
  <c r="AK21" i="134"/>
  <c r="AK20" i="134"/>
  <c r="AK19" i="134"/>
  <c r="AK18" i="134"/>
  <c r="AK17" i="134"/>
  <c r="AK16" i="134"/>
  <c r="AK15" i="134"/>
  <c r="AK14" i="134"/>
  <c r="AK13" i="134"/>
  <c r="AD21" i="134"/>
  <c r="AD17" i="134"/>
  <c r="V55" i="134"/>
  <c r="AC55" i="134" s="1"/>
  <c r="V54" i="134"/>
  <c r="V53" i="134"/>
  <c r="V52" i="134"/>
  <c r="V51" i="134"/>
  <c r="AD51" i="134" s="1"/>
  <c r="V50" i="134"/>
  <c r="V49" i="134"/>
  <c r="AD49" i="134" s="1"/>
  <c r="V48" i="134"/>
  <c r="AD48" i="134" s="1"/>
  <c r="V47" i="134"/>
  <c r="AC47" i="134" s="1"/>
  <c r="V38" i="134"/>
  <c r="AC38" i="134" s="1"/>
  <c r="V37" i="134"/>
  <c r="V36" i="134"/>
  <c r="V35" i="134"/>
  <c r="V34" i="134"/>
  <c r="AD34" i="134" s="1"/>
  <c r="V33" i="134"/>
  <c r="V32" i="134"/>
  <c r="AD32" i="134" s="1"/>
  <c r="V31" i="134"/>
  <c r="AC31" i="134" s="1"/>
  <c r="V30" i="134"/>
  <c r="AD30" i="134" s="1"/>
  <c r="V21" i="134"/>
  <c r="V20" i="134"/>
  <c r="V19" i="134"/>
  <c r="V18" i="134"/>
  <c r="V17" i="134"/>
  <c r="V16" i="134"/>
  <c r="V15" i="134"/>
  <c r="AD15" i="134" s="1"/>
  <c r="V14" i="134"/>
  <c r="AD14" i="134" s="1"/>
  <c r="V13" i="134"/>
  <c r="AD13" i="134" s="1"/>
  <c r="D53" i="137"/>
  <c r="E53" i="137" s="1"/>
  <c r="F53" i="137" s="1"/>
  <c r="G53" i="137" s="1"/>
  <c r="H53" i="137" s="1"/>
  <c r="I53" i="137" s="1"/>
  <c r="J53" i="137" s="1"/>
  <c r="K53" i="137" s="1"/>
  <c r="L53" i="137" s="1"/>
  <c r="M53" i="137" s="1"/>
  <c r="N53" i="137" s="1"/>
  <c r="O53" i="137" s="1"/>
  <c r="P53" i="137" s="1"/>
  <c r="Q53" i="137" s="1"/>
  <c r="R53" i="137" s="1"/>
  <c r="S53" i="137" s="1"/>
  <c r="T53" i="137" s="1"/>
  <c r="U53" i="137" s="1"/>
  <c r="V53" i="137" s="1"/>
  <c r="W53" i="137" s="1"/>
  <c r="X53" i="137" s="1"/>
  <c r="Y53" i="137" s="1"/>
  <c r="Z53" i="137" s="1"/>
  <c r="AA53" i="137" s="1"/>
  <c r="AB53" i="137" s="1"/>
  <c r="AC53" i="137" s="1"/>
  <c r="AD53" i="137" s="1"/>
  <c r="AE53" i="137" s="1"/>
  <c r="AF53" i="137" s="1"/>
  <c r="AG53" i="137" s="1"/>
  <c r="AH53" i="137" s="1"/>
  <c r="AI53" i="137" s="1"/>
  <c r="AJ53" i="137" s="1"/>
  <c r="AK53" i="137" s="1"/>
  <c r="AL53" i="137" s="1"/>
  <c r="AM53" i="137" s="1"/>
  <c r="AN53" i="137" s="1"/>
  <c r="AO53" i="137" s="1"/>
  <c r="AP53" i="137" s="1"/>
  <c r="AQ53" i="137" s="1"/>
  <c r="AR53" i="137" s="1"/>
  <c r="AS53" i="137" s="1"/>
  <c r="AT53" i="137" s="1"/>
  <c r="AU53" i="137" s="1"/>
  <c r="AV53" i="137" s="1"/>
  <c r="AW53" i="137" s="1"/>
  <c r="AX53" i="137" s="1"/>
  <c r="AY53" i="137" s="1"/>
  <c r="AZ53" i="137" s="1"/>
  <c r="BA53" i="137" s="1"/>
  <c r="BB53" i="137" s="1"/>
  <c r="BC53" i="137" s="1"/>
  <c r="BD53" i="137" s="1"/>
  <c r="BE53" i="137" s="1"/>
  <c r="BF53" i="137" s="1"/>
  <c r="BG53" i="137" s="1"/>
  <c r="BH53" i="137" s="1"/>
  <c r="BI53" i="137" s="1"/>
  <c r="BJ53" i="137" s="1"/>
  <c r="BK53" i="137" s="1"/>
  <c r="BL53" i="137" s="1"/>
  <c r="BM53" i="137" s="1"/>
  <c r="BN53" i="137" s="1"/>
  <c r="BO53" i="137" s="1"/>
  <c r="BP53" i="137" s="1"/>
  <c r="BQ53" i="137" s="1"/>
  <c r="BR53" i="137" s="1"/>
  <c r="BS53" i="137" s="1"/>
  <c r="BT53" i="137" s="1"/>
  <c r="BU53" i="137" s="1"/>
  <c r="BV53" i="137" s="1"/>
  <c r="BW53" i="137" s="1"/>
  <c r="BX53" i="137" s="1"/>
  <c r="BY53" i="137" s="1"/>
  <c r="BZ53" i="137" s="1"/>
  <c r="CA53" i="137" s="1"/>
  <c r="CB53" i="137" s="1"/>
  <c r="CC53" i="137" s="1"/>
  <c r="CD53" i="137" s="1"/>
  <c r="CE53" i="137" s="1"/>
  <c r="CF53" i="137" s="1"/>
  <c r="CG53" i="137" s="1"/>
  <c r="CH53" i="137" s="1"/>
  <c r="C53" i="137"/>
  <c r="M2" i="121"/>
  <c r="M3" i="121"/>
  <c r="M4" i="121"/>
  <c r="M5" i="121"/>
  <c r="M6" i="121"/>
  <c r="M7" i="121"/>
  <c r="M8" i="121"/>
  <c r="M9" i="121"/>
  <c r="M10" i="121"/>
  <c r="M11" i="121"/>
  <c r="M12" i="121"/>
  <c r="M13" i="121"/>
  <c r="M14" i="121"/>
  <c r="M15" i="121"/>
  <c r="M16" i="121"/>
  <c r="M17" i="121"/>
  <c r="M18" i="121"/>
  <c r="M19" i="121"/>
  <c r="M20" i="121"/>
  <c r="M21" i="121"/>
  <c r="M22" i="121"/>
  <c r="M23" i="121"/>
  <c r="M24" i="121"/>
  <c r="M25" i="121"/>
  <c r="M26" i="121"/>
  <c r="M27" i="121"/>
  <c r="M28" i="121"/>
  <c r="M29" i="121"/>
  <c r="M30" i="121"/>
  <c r="M31" i="121"/>
  <c r="M32" i="121"/>
  <c r="M33" i="121"/>
  <c r="M34" i="121"/>
  <c r="M35" i="121"/>
  <c r="M36" i="121"/>
  <c r="M37" i="121"/>
  <c r="M38" i="121"/>
  <c r="M39" i="121"/>
  <c r="M40" i="121"/>
  <c r="M2" i="124"/>
  <c r="M3" i="124"/>
  <c r="M4" i="124"/>
  <c r="M5" i="124"/>
  <c r="M6" i="124"/>
  <c r="M7" i="124"/>
  <c r="M8" i="124"/>
  <c r="M9" i="124"/>
  <c r="M10" i="124"/>
  <c r="M11" i="124"/>
  <c r="M12" i="124"/>
  <c r="M13" i="124"/>
  <c r="M14" i="124"/>
  <c r="M15" i="124"/>
  <c r="M16" i="124"/>
  <c r="M17" i="124"/>
  <c r="M18" i="124"/>
  <c r="M19" i="124"/>
  <c r="M20" i="124"/>
  <c r="M21" i="124"/>
  <c r="M22" i="124"/>
  <c r="M23" i="124"/>
  <c r="M24" i="124"/>
  <c r="M25" i="124"/>
  <c r="M26" i="124"/>
  <c r="M27" i="124"/>
  <c r="M28" i="124"/>
  <c r="M29" i="124"/>
  <c r="M30" i="124"/>
  <c r="M31" i="124"/>
  <c r="M32" i="124"/>
  <c r="M33" i="124"/>
  <c r="M34" i="124"/>
  <c r="M35" i="124"/>
  <c r="M36" i="124"/>
  <c r="M37" i="124"/>
  <c r="M38" i="124"/>
  <c r="M39" i="124"/>
  <c r="M40" i="124"/>
  <c r="M2" i="123"/>
  <c r="M3" i="123"/>
  <c r="M4" i="123"/>
  <c r="M5" i="123"/>
  <c r="M6" i="123"/>
  <c r="M7" i="123"/>
  <c r="M8" i="123"/>
  <c r="M9" i="123"/>
  <c r="M10" i="123"/>
  <c r="M11" i="123"/>
  <c r="M12" i="123"/>
  <c r="M13" i="123"/>
  <c r="M14" i="123"/>
  <c r="M15" i="123"/>
  <c r="M16" i="123"/>
  <c r="M17" i="123"/>
  <c r="M18" i="123"/>
  <c r="M19" i="123"/>
  <c r="M20" i="123"/>
  <c r="M21" i="123"/>
  <c r="M22" i="123"/>
  <c r="M23" i="123"/>
  <c r="M24" i="123"/>
  <c r="M25" i="123"/>
  <c r="M26" i="123"/>
  <c r="M27" i="123"/>
  <c r="M28" i="123"/>
  <c r="M29" i="123"/>
  <c r="M30" i="123"/>
  <c r="M31" i="123"/>
  <c r="M32" i="123"/>
  <c r="M33" i="123"/>
  <c r="M34" i="123"/>
  <c r="M35" i="123"/>
  <c r="M36" i="123"/>
  <c r="M37" i="123"/>
  <c r="M38" i="123"/>
  <c r="M39" i="123"/>
  <c r="M40" i="123"/>
  <c r="M2" i="113"/>
  <c r="M3" i="113"/>
  <c r="M4" i="113"/>
  <c r="M5" i="113"/>
  <c r="M6" i="113"/>
  <c r="M7" i="113"/>
  <c r="M8" i="113"/>
  <c r="M9" i="113"/>
  <c r="M10" i="113"/>
  <c r="M11" i="113"/>
  <c r="M12" i="113"/>
  <c r="M13" i="113"/>
  <c r="M14" i="113"/>
  <c r="M15" i="113"/>
  <c r="M16" i="113"/>
  <c r="M17" i="113"/>
  <c r="M18" i="113"/>
  <c r="M19" i="113"/>
  <c r="M20" i="113"/>
  <c r="M21" i="113"/>
  <c r="M22" i="113"/>
  <c r="M23" i="113"/>
  <c r="M24" i="113"/>
  <c r="M25" i="113"/>
  <c r="M26" i="113"/>
  <c r="M27" i="113"/>
  <c r="M28" i="113"/>
  <c r="M29" i="113"/>
  <c r="M30" i="113"/>
  <c r="M31" i="113"/>
  <c r="M32" i="113"/>
  <c r="M33" i="113"/>
  <c r="M34" i="113"/>
  <c r="M35" i="113"/>
  <c r="M36" i="113"/>
  <c r="M37" i="113"/>
  <c r="M38" i="113"/>
  <c r="M39" i="113"/>
  <c r="M40" i="113"/>
  <c r="L8" i="124"/>
  <c r="L19" i="124"/>
  <c r="F58" i="129" s="1"/>
  <c r="L27" i="124"/>
  <c r="F87" i="135" s="1"/>
  <c r="L28" i="124"/>
  <c r="L36" i="124"/>
  <c r="F71" i="135" s="1"/>
  <c r="L37" i="124"/>
  <c r="F83" i="135" s="1"/>
  <c r="L38" i="124"/>
  <c r="F72" i="135" s="1"/>
  <c r="L39" i="124"/>
  <c r="F80" i="135" s="1"/>
  <c r="L40" i="124"/>
  <c r="F82" i="135" s="1"/>
  <c r="K2" i="124"/>
  <c r="F49" i="135" s="1"/>
  <c r="K3" i="124"/>
  <c r="K4" i="124"/>
  <c r="F60" i="135" s="1"/>
  <c r="K5" i="124"/>
  <c r="F50" i="135" s="1"/>
  <c r="K6" i="124"/>
  <c r="F51" i="135" s="1"/>
  <c r="K7" i="124"/>
  <c r="K8" i="124"/>
  <c r="K9" i="124"/>
  <c r="F56" i="135" s="1"/>
  <c r="K10" i="124"/>
  <c r="F42" i="135" s="1"/>
  <c r="K11" i="124"/>
  <c r="K12" i="124"/>
  <c r="F53" i="135" s="1"/>
  <c r="K13" i="124"/>
  <c r="F41" i="135" s="1"/>
  <c r="K14" i="124"/>
  <c r="K15" i="124"/>
  <c r="F47" i="135" s="1"/>
  <c r="K16" i="124"/>
  <c r="F45" i="135" s="1"/>
  <c r="K17" i="124"/>
  <c r="K18" i="124"/>
  <c r="F46" i="135" s="1"/>
  <c r="K19" i="124"/>
  <c r="F40" i="129" s="1"/>
  <c r="K20" i="124"/>
  <c r="F37" i="129" s="1"/>
  <c r="K21" i="124"/>
  <c r="F36" i="129" s="1"/>
  <c r="K22" i="124"/>
  <c r="F38" i="129" s="1"/>
  <c r="K23" i="124"/>
  <c r="F39" i="129" s="1"/>
  <c r="K24" i="124"/>
  <c r="F45" i="129" s="1"/>
  <c r="K25" i="124"/>
  <c r="F43" i="129" s="1"/>
  <c r="K26" i="124"/>
  <c r="F41" i="129" s="1"/>
  <c r="K27" i="124"/>
  <c r="F59" i="135" s="1"/>
  <c r="K28" i="124"/>
  <c r="K29" i="124"/>
  <c r="F57" i="135" s="1"/>
  <c r="K30" i="124"/>
  <c r="F44" i="129" s="1"/>
  <c r="K31" i="124"/>
  <c r="F48" i="135" s="1"/>
  <c r="K32" i="124"/>
  <c r="K33" i="124"/>
  <c r="K34" i="124"/>
  <c r="K35" i="124"/>
  <c r="F58" i="135" s="1"/>
  <c r="K36" i="124"/>
  <c r="F43" i="135" s="1"/>
  <c r="K37" i="124"/>
  <c r="F55" i="135" s="1"/>
  <c r="K38" i="124"/>
  <c r="F44" i="135" s="1"/>
  <c r="K39" i="124"/>
  <c r="F52" i="135" s="1"/>
  <c r="K40" i="124"/>
  <c r="F54" i="135" s="1"/>
  <c r="L2" i="123"/>
  <c r="E77" i="135" s="1"/>
  <c r="L3" i="123"/>
  <c r="E49" i="134" s="1"/>
  <c r="L4" i="123"/>
  <c r="E88" i="135" s="1"/>
  <c r="L5" i="123"/>
  <c r="E78" i="135" s="1"/>
  <c r="L6" i="123"/>
  <c r="E79" i="135" s="1"/>
  <c r="L7" i="123"/>
  <c r="E51" i="134" s="1"/>
  <c r="L8" i="123"/>
  <c r="E48" i="134" s="1"/>
  <c r="L9" i="123"/>
  <c r="E84" i="135" s="1"/>
  <c r="L10" i="123"/>
  <c r="E70" i="135" s="1"/>
  <c r="L11" i="123"/>
  <c r="E60" i="129" s="1"/>
  <c r="L12" i="123"/>
  <c r="E81" i="135" s="1"/>
  <c r="L13" i="123"/>
  <c r="E69" i="135" s="1"/>
  <c r="L14" i="123"/>
  <c r="E53" i="134" s="1"/>
  <c r="L15" i="123"/>
  <c r="E75" i="135" s="1"/>
  <c r="L16" i="123"/>
  <c r="E73" i="135" s="1"/>
  <c r="L17" i="123"/>
  <c r="E54" i="134" s="1"/>
  <c r="L18" i="123"/>
  <c r="E74" i="135" s="1"/>
  <c r="L19" i="123"/>
  <c r="E58" i="129" s="1"/>
  <c r="L20" i="123"/>
  <c r="E55" i="129" s="1"/>
  <c r="L21" i="123"/>
  <c r="E54" i="129" s="1"/>
  <c r="L22" i="123"/>
  <c r="E56" i="129" s="1"/>
  <c r="L23" i="123"/>
  <c r="E57" i="129" s="1"/>
  <c r="L24" i="123"/>
  <c r="E63" i="129" s="1"/>
  <c r="L25" i="123"/>
  <c r="E61" i="129" s="1"/>
  <c r="L26" i="123"/>
  <c r="E59" i="129" s="1"/>
  <c r="L27" i="123"/>
  <c r="E87" i="135" s="1"/>
  <c r="L28" i="123"/>
  <c r="E50" i="134" s="1"/>
  <c r="L29" i="123"/>
  <c r="E85" i="135" s="1"/>
  <c r="L30" i="123"/>
  <c r="E62" i="129" s="1"/>
  <c r="L31" i="123"/>
  <c r="E76" i="135" s="1"/>
  <c r="L32" i="123"/>
  <c r="E55" i="134" s="1"/>
  <c r="L33" i="123"/>
  <c r="E52" i="134" s="1"/>
  <c r="L34" i="123"/>
  <c r="E47" i="134" s="1"/>
  <c r="L35" i="123"/>
  <c r="E86" i="135" s="1"/>
  <c r="L36" i="123"/>
  <c r="E71" i="135" s="1"/>
  <c r="L37" i="123"/>
  <c r="E83" i="135" s="1"/>
  <c r="L38" i="123"/>
  <c r="E72" i="135" s="1"/>
  <c r="L39" i="123"/>
  <c r="E80" i="135" s="1"/>
  <c r="L40" i="123"/>
  <c r="E82" i="135" s="1"/>
  <c r="K2" i="123"/>
  <c r="E49" i="135" s="1"/>
  <c r="K3" i="123"/>
  <c r="E32" i="134" s="1"/>
  <c r="K4" i="123"/>
  <c r="E60" i="135" s="1"/>
  <c r="K5" i="123"/>
  <c r="E50" i="135" s="1"/>
  <c r="K6" i="123"/>
  <c r="E51" i="135" s="1"/>
  <c r="K7" i="123"/>
  <c r="E34" i="134" s="1"/>
  <c r="K8" i="123"/>
  <c r="E31" i="134" s="1"/>
  <c r="K9" i="123"/>
  <c r="E56" i="135" s="1"/>
  <c r="K10" i="123"/>
  <c r="E42" i="135" s="1"/>
  <c r="K11" i="123"/>
  <c r="E42" i="129" s="1"/>
  <c r="K12" i="123"/>
  <c r="E53" i="135" s="1"/>
  <c r="K13" i="123"/>
  <c r="E41" i="135" s="1"/>
  <c r="K14" i="123"/>
  <c r="E36" i="134" s="1"/>
  <c r="K15" i="123"/>
  <c r="E47" i="135" s="1"/>
  <c r="K16" i="123"/>
  <c r="E45" i="135" s="1"/>
  <c r="K17" i="123"/>
  <c r="E37" i="134" s="1"/>
  <c r="K18" i="123"/>
  <c r="E46" i="135" s="1"/>
  <c r="K19" i="123"/>
  <c r="E40" i="129" s="1"/>
  <c r="K20" i="123"/>
  <c r="E37" i="129" s="1"/>
  <c r="K21" i="123"/>
  <c r="E36" i="129" s="1"/>
  <c r="K22" i="123"/>
  <c r="E38" i="129" s="1"/>
  <c r="K23" i="123"/>
  <c r="E39" i="129" s="1"/>
  <c r="K24" i="123"/>
  <c r="E45" i="129" s="1"/>
  <c r="K25" i="123"/>
  <c r="E43" i="129" s="1"/>
  <c r="K26" i="123"/>
  <c r="E41" i="129" s="1"/>
  <c r="K27" i="123"/>
  <c r="E59" i="135" s="1"/>
  <c r="K28" i="123"/>
  <c r="E33" i="134" s="1"/>
  <c r="K29" i="123"/>
  <c r="E57" i="135" s="1"/>
  <c r="K30" i="123"/>
  <c r="E44" i="129" s="1"/>
  <c r="K31" i="123"/>
  <c r="E48" i="135" s="1"/>
  <c r="K32" i="123"/>
  <c r="E38" i="134" s="1"/>
  <c r="K33" i="123"/>
  <c r="E35" i="134" s="1"/>
  <c r="K34" i="123"/>
  <c r="E30" i="134" s="1"/>
  <c r="K35" i="123"/>
  <c r="E58" i="135" s="1"/>
  <c r="K36" i="123"/>
  <c r="E43" i="135" s="1"/>
  <c r="K37" i="123"/>
  <c r="E55" i="135" s="1"/>
  <c r="K38" i="123"/>
  <c r="E44" i="135" s="1"/>
  <c r="K39" i="123"/>
  <c r="E52" i="135" s="1"/>
  <c r="K40" i="123"/>
  <c r="E54" i="135" s="1"/>
  <c r="L8" i="113"/>
  <c r="L19" i="113"/>
  <c r="D58" i="129" s="1"/>
  <c r="L27" i="113"/>
  <c r="D87" i="135" s="1"/>
  <c r="L28" i="113"/>
  <c r="L36" i="113"/>
  <c r="D71" i="135" s="1"/>
  <c r="L37" i="113"/>
  <c r="D83" i="135" s="1"/>
  <c r="L38" i="113"/>
  <c r="D72" i="135" s="1"/>
  <c r="L39" i="113"/>
  <c r="D80" i="135" s="1"/>
  <c r="L40" i="113"/>
  <c r="D82" i="135" s="1"/>
  <c r="K2" i="113"/>
  <c r="D49" i="135" s="1"/>
  <c r="K3" i="113"/>
  <c r="K4" i="113"/>
  <c r="D60" i="135" s="1"/>
  <c r="K5" i="113"/>
  <c r="D50" i="135" s="1"/>
  <c r="K6" i="113"/>
  <c r="D51" i="135" s="1"/>
  <c r="K7" i="113"/>
  <c r="K8" i="113"/>
  <c r="K9" i="113"/>
  <c r="D56" i="135" s="1"/>
  <c r="K10" i="113"/>
  <c r="D42" i="135" s="1"/>
  <c r="K11" i="113"/>
  <c r="D42" i="129" s="1"/>
  <c r="K12" i="113"/>
  <c r="D53" i="135" s="1"/>
  <c r="K13" i="113"/>
  <c r="D41" i="135" s="1"/>
  <c r="K14" i="113"/>
  <c r="K15" i="113"/>
  <c r="D47" i="135" s="1"/>
  <c r="K16" i="113"/>
  <c r="D45" i="135" s="1"/>
  <c r="K17" i="113"/>
  <c r="K18" i="113"/>
  <c r="D46" i="135" s="1"/>
  <c r="K19" i="113"/>
  <c r="D40" i="129" s="1"/>
  <c r="K20" i="113"/>
  <c r="D37" i="129" s="1"/>
  <c r="K21" i="113"/>
  <c r="D36" i="129" s="1"/>
  <c r="K22" i="113"/>
  <c r="D38" i="129" s="1"/>
  <c r="K23" i="113"/>
  <c r="D39" i="129" s="1"/>
  <c r="K24" i="113"/>
  <c r="D45" i="129" s="1"/>
  <c r="K25" i="113"/>
  <c r="D43" i="129" s="1"/>
  <c r="K26" i="113"/>
  <c r="D41" i="129" s="1"/>
  <c r="K27" i="113"/>
  <c r="D59" i="135" s="1"/>
  <c r="K28" i="113"/>
  <c r="K29" i="113"/>
  <c r="D57" i="135" s="1"/>
  <c r="K30" i="113"/>
  <c r="D44" i="129" s="1"/>
  <c r="K31" i="113"/>
  <c r="D48" i="135" s="1"/>
  <c r="K32" i="113"/>
  <c r="K33" i="113"/>
  <c r="K34" i="113"/>
  <c r="K35" i="113"/>
  <c r="D58" i="135" s="1"/>
  <c r="K36" i="113"/>
  <c r="D43" i="135" s="1"/>
  <c r="K37" i="113"/>
  <c r="D55" i="135" s="1"/>
  <c r="K38" i="113"/>
  <c r="D44" i="135" s="1"/>
  <c r="K39" i="113"/>
  <c r="D52" i="135" s="1"/>
  <c r="K40" i="113"/>
  <c r="D54" i="135" s="1"/>
  <c r="L2" i="113"/>
  <c r="D77" i="135" s="1"/>
  <c r="L3" i="113"/>
  <c r="L4" i="113"/>
  <c r="D88" i="135" s="1"/>
  <c r="L5" i="113"/>
  <c r="D78" i="135" s="1"/>
  <c r="L6" i="113"/>
  <c r="D79" i="135" s="1"/>
  <c r="L7" i="113"/>
  <c r="L9" i="113"/>
  <c r="D84" i="135" s="1"/>
  <c r="L10" i="113"/>
  <c r="D70" i="135" s="1"/>
  <c r="L11" i="113"/>
  <c r="D60" i="129" s="1"/>
  <c r="L12" i="113"/>
  <c r="D81" i="135" s="1"/>
  <c r="L13" i="113"/>
  <c r="D69" i="135" s="1"/>
  <c r="L14" i="113"/>
  <c r="L15" i="113"/>
  <c r="D75" i="135" s="1"/>
  <c r="L16" i="113"/>
  <c r="D73" i="135" s="1"/>
  <c r="L17" i="113"/>
  <c r="L18" i="113"/>
  <c r="D74" i="135" s="1"/>
  <c r="L20" i="113"/>
  <c r="D55" i="129" s="1"/>
  <c r="L21" i="113"/>
  <c r="D54" i="129" s="1"/>
  <c r="L22" i="113"/>
  <c r="D56" i="129" s="1"/>
  <c r="L23" i="113"/>
  <c r="D57" i="129" s="1"/>
  <c r="L24" i="113"/>
  <c r="D63" i="129" s="1"/>
  <c r="L25" i="113"/>
  <c r="D61" i="129" s="1"/>
  <c r="L26" i="113"/>
  <c r="D59" i="129" s="1"/>
  <c r="L29" i="113"/>
  <c r="D85" i="135" s="1"/>
  <c r="L30" i="113"/>
  <c r="D62" i="129" s="1"/>
  <c r="L31" i="113"/>
  <c r="D76" i="135" s="1"/>
  <c r="L32" i="113"/>
  <c r="L33" i="113"/>
  <c r="L34" i="113"/>
  <c r="L35" i="113"/>
  <c r="D86" i="135" s="1"/>
  <c r="B41" i="123"/>
  <c r="AD31" i="134" l="1"/>
  <c r="AK31" i="134" s="1"/>
  <c r="AC32" i="134"/>
  <c r="AC34" i="134"/>
  <c r="V39" i="134"/>
  <c r="AD38" i="134"/>
  <c r="AK38" i="134" s="1"/>
  <c r="AD47" i="134"/>
  <c r="AC30" i="134"/>
  <c r="R22" i="134"/>
  <c r="AC48" i="134"/>
  <c r="AC49" i="134"/>
  <c r="AC51" i="134"/>
  <c r="S22" i="134"/>
  <c r="D20" i="132"/>
  <c r="D11" i="132"/>
  <c r="C20" i="132"/>
  <c r="C29" i="132"/>
  <c r="D29" i="132"/>
  <c r="E89" i="135"/>
  <c r="L44" i="123"/>
  <c r="E56" i="134"/>
  <c r="E39" i="134"/>
  <c r="K42" i="123"/>
  <c r="L42" i="123"/>
  <c r="K43" i="123"/>
  <c r="L43" i="123"/>
  <c r="K44" i="123"/>
  <c r="D61" i="135"/>
  <c r="E61" i="135"/>
  <c r="D89" i="135"/>
  <c r="F61" i="135"/>
  <c r="K43" i="113"/>
  <c r="K44" i="124"/>
  <c r="K41" i="113"/>
  <c r="K42" i="124"/>
  <c r="F42" i="129"/>
  <c r="F46" i="129" s="1"/>
  <c r="F47" i="129" s="1"/>
  <c r="L43" i="113"/>
  <c r="K43" i="124"/>
  <c r="L44" i="113"/>
  <c r="K44" i="113"/>
  <c r="V56" i="134"/>
  <c r="V22" i="134"/>
  <c r="K42" i="113"/>
  <c r="L42" i="113"/>
  <c r="E46" i="129"/>
  <c r="E64" i="129"/>
  <c r="L41" i="113"/>
  <c r="D46" i="129"/>
  <c r="B41" i="113"/>
  <c r="D47" i="129" l="1"/>
  <c r="E65" i="129"/>
  <c r="E47" i="129"/>
  <c r="L35" i="124"/>
  <c r="F86" i="135" s="1"/>
  <c r="L34" i="124"/>
  <c r="L33" i="124"/>
  <c r="L32" i="124"/>
  <c r="L31" i="124"/>
  <c r="F76" i="135" s="1"/>
  <c r="L30" i="124"/>
  <c r="F62" i="129" s="1"/>
  <c r="L29" i="124"/>
  <c r="F85" i="135" s="1"/>
  <c r="L26" i="124"/>
  <c r="F59" i="129" s="1"/>
  <c r="L25" i="124"/>
  <c r="F61" i="129" s="1"/>
  <c r="L24" i="124"/>
  <c r="F63" i="129" s="1"/>
  <c r="L23" i="124"/>
  <c r="F57" i="129" s="1"/>
  <c r="L22" i="124"/>
  <c r="F56" i="129" s="1"/>
  <c r="L21" i="124"/>
  <c r="F54" i="129" s="1"/>
  <c r="L20" i="124"/>
  <c r="F55" i="129" s="1"/>
  <c r="L18" i="124"/>
  <c r="F74" i="135" s="1"/>
  <c r="L17" i="124"/>
  <c r="L16" i="124"/>
  <c r="F73" i="135" s="1"/>
  <c r="L15" i="124"/>
  <c r="F75" i="135" s="1"/>
  <c r="L14" i="124"/>
  <c r="L13" i="124"/>
  <c r="F69" i="135" s="1"/>
  <c r="L12" i="124"/>
  <c r="F81" i="135" s="1"/>
  <c r="L11" i="124"/>
  <c r="L10" i="124"/>
  <c r="F70" i="135" s="1"/>
  <c r="L9" i="124"/>
  <c r="F84" i="135" s="1"/>
  <c r="L7" i="124"/>
  <c r="L6" i="124"/>
  <c r="F79" i="135" s="1"/>
  <c r="L5" i="124"/>
  <c r="F78" i="135" s="1"/>
  <c r="L4" i="124"/>
  <c r="F88" i="135" s="1"/>
  <c r="L3" i="124"/>
  <c r="I2" i="114"/>
  <c r="I3" i="114"/>
  <c r="I4" i="114"/>
  <c r="I5" i="114"/>
  <c r="I6" i="114"/>
  <c r="I7" i="114"/>
  <c r="I8" i="114"/>
  <c r="I9" i="114"/>
  <c r="I10" i="114"/>
  <c r="I11" i="114"/>
  <c r="I12" i="114"/>
  <c r="I13" i="114"/>
  <c r="I14" i="114"/>
  <c r="I15" i="114"/>
  <c r="I16" i="114"/>
  <c r="I17" i="114"/>
  <c r="I18" i="114"/>
  <c r="I19" i="114"/>
  <c r="I20" i="114"/>
  <c r="I21" i="114"/>
  <c r="I22" i="114"/>
  <c r="I23" i="114"/>
  <c r="I24" i="114"/>
  <c r="I25" i="114"/>
  <c r="I26" i="114"/>
  <c r="I27" i="114"/>
  <c r="I28" i="114"/>
  <c r="I29" i="114"/>
  <c r="I30" i="114"/>
  <c r="I31" i="114"/>
  <c r="I32" i="114"/>
  <c r="I33" i="114"/>
  <c r="I34" i="114"/>
  <c r="I35" i="114"/>
  <c r="I36" i="114"/>
  <c r="I37" i="114"/>
  <c r="I38" i="114"/>
  <c r="I39" i="114"/>
  <c r="I40" i="114"/>
  <c r="L43" i="124" l="1"/>
  <c r="L42" i="124"/>
  <c r="F60" i="129"/>
  <c r="F64" i="129" s="1"/>
  <c r="B41" i="124"/>
  <c r="L2" i="124"/>
  <c r="B41" i="121"/>
  <c r="L40" i="121"/>
  <c r="C82" i="135" s="1"/>
  <c r="L39" i="121"/>
  <c r="C80" i="135" s="1"/>
  <c r="L38" i="121"/>
  <c r="C72" i="135" s="1"/>
  <c r="L37" i="121"/>
  <c r="C83" i="135" s="1"/>
  <c r="L36" i="121"/>
  <c r="C71" i="135" s="1"/>
  <c r="L35" i="121"/>
  <c r="C86" i="135" s="1"/>
  <c r="L34" i="121"/>
  <c r="C47" i="134" s="1"/>
  <c r="L33" i="121"/>
  <c r="C52" i="134" s="1"/>
  <c r="L32" i="121"/>
  <c r="C55" i="134" s="1"/>
  <c r="L31" i="121"/>
  <c r="C76" i="135" s="1"/>
  <c r="L30" i="121"/>
  <c r="C62" i="129" s="1"/>
  <c r="L29" i="121"/>
  <c r="C85" i="135" s="1"/>
  <c r="L28" i="121"/>
  <c r="C50" i="134" s="1"/>
  <c r="L27" i="121"/>
  <c r="C87" i="135" s="1"/>
  <c r="L26" i="121"/>
  <c r="C59" i="129" s="1"/>
  <c r="L25" i="121"/>
  <c r="C61" i="129" s="1"/>
  <c r="L24" i="121"/>
  <c r="C63" i="129" s="1"/>
  <c r="L23" i="121"/>
  <c r="C57" i="129" s="1"/>
  <c r="L22" i="121"/>
  <c r="C56" i="129" s="1"/>
  <c r="L21" i="121"/>
  <c r="C54" i="129" s="1"/>
  <c r="L20" i="121"/>
  <c r="C55" i="129" s="1"/>
  <c r="L19" i="121"/>
  <c r="C58" i="129" s="1"/>
  <c r="L18" i="121"/>
  <c r="C74" i="135" s="1"/>
  <c r="L17" i="121"/>
  <c r="C54" i="134" s="1"/>
  <c r="L16" i="121"/>
  <c r="C73" i="135" s="1"/>
  <c r="L15" i="121"/>
  <c r="C75" i="135" s="1"/>
  <c r="L14" i="121"/>
  <c r="C53" i="134" s="1"/>
  <c r="L13" i="121"/>
  <c r="C69" i="135" s="1"/>
  <c r="L12" i="121"/>
  <c r="C81" i="135" s="1"/>
  <c r="L11" i="121"/>
  <c r="L10" i="121"/>
  <c r="C70" i="135" s="1"/>
  <c r="L9" i="121"/>
  <c r="C84" i="135" s="1"/>
  <c r="L8" i="121"/>
  <c r="C48" i="134" s="1"/>
  <c r="L7" i="121"/>
  <c r="C51" i="134" s="1"/>
  <c r="L6" i="121"/>
  <c r="C79" i="135" s="1"/>
  <c r="L5" i="121"/>
  <c r="C78" i="135" s="1"/>
  <c r="L4" i="121"/>
  <c r="C88" i="135" s="1"/>
  <c r="L3" i="121"/>
  <c r="L2" i="121"/>
  <c r="F65" i="129" l="1"/>
  <c r="C49" i="134"/>
  <c r="C56" i="134" s="1"/>
  <c r="L43" i="121"/>
  <c r="C77" i="135"/>
  <c r="C89" i="135" s="1"/>
  <c r="L44" i="121"/>
  <c r="C60" i="129"/>
  <c r="L42" i="121"/>
  <c r="L44" i="124"/>
  <c r="F77" i="135"/>
  <c r="B41" i="115"/>
  <c r="K40" i="121"/>
  <c r="C54" i="135" s="1"/>
  <c r="K39" i="121"/>
  <c r="C52" i="135" s="1"/>
  <c r="K38" i="121"/>
  <c r="C44" i="135" s="1"/>
  <c r="K36" i="121"/>
  <c r="C43" i="135" s="1"/>
  <c r="K35" i="121"/>
  <c r="C58" i="135" s="1"/>
  <c r="K34" i="121"/>
  <c r="C30" i="134" s="1"/>
  <c r="K33" i="121"/>
  <c r="C35" i="134" s="1"/>
  <c r="K31" i="121"/>
  <c r="C48" i="135" s="1"/>
  <c r="K29" i="121"/>
  <c r="C57" i="135" s="1"/>
  <c r="K28" i="121"/>
  <c r="C33" i="134" s="1"/>
  <c r="K27" i="121"/>
  <c r="C59" i="135" s="1"/>
  <c r="K26" i="121"/>
  <c r="C41" i="129" s="1"/>
  <c r="K25" i="121"/>
  <c r="C43" i="129" s="1"/>
  <c r="K24" i="121"/>
  <c r="C45" i="129" s="1"/>
  <c r="K23" i="121"/>
  <c r="C39" i="129" s="1"/>
  <c r="K22" i="121"/>
  <c r="C38" i="129" s="1"/>
  <c r="K21" i="121"/>
  <c r="C36" i="129" s="1"/>
  <c r="K20" i="121"/>
  <c r="C37" i="129" s="1"/>
  <c r="K19" i="121"/>
  <c r="C40" i="129" s="1"/>
  <c r="K18" i="121"/>
  <c r="C46" i="135" s="1"/>
  <c r="K17" i="121"/>
  <c r="C37" i="134" s="1"/>
  <c r="K16" i="121"/>
  <c r="C45" i="135" s="1"/>
  <c r="K15" i="121"/>
  <c r="C47" i="135" s="1"/>
  <c r="K13" i="121"/>
  <c r="C41" i="135" s="1"/>
  <c r="K12" i="121"/>
  <c r="C53" i="135" s="1"/>
  <c r="K11" i="121"/>
  <c r="K10" i="121"/>
  <c r="C42" i="135" s="1"/>
  <c r="K9" i="121"/>
  <c r="C56" i="135" s="1"/>
  <c r="K8" i="121"/>
  <c r="C31" i="134" s="1"/>
  <c r="K6" i="121"/>
  <c r="C51" i="135" s="1"/>
  <c r="K5" i="121"/>
  <c r="C50" i="135" s="1"/>
  <c r="K4" i="121"/>
  <c r="C60" i="135" s="1"/>
  <c r="K3" i="121"/>
  <c r="K2" i="121"/>
  <c r="T56" i="138"/>
  <c r="U56" i="138" s="1"/>
  <c r="V56" i="138" s="1"/>
  <c r="W56" i="138" s="1"/>
  <c r="X56" i="138" s="1"/>
  <c r="Y56" i="138" s="1"/>
  <c r="Z56" i="138" s="1"/>
  <c r="AA56" i="138" s="1"/>
  <c r="AB56" i="138" s="1"/>
  <c r="AC56" i="138" s="1"/>
  <c r="AD56" i="138" s="1"/>
  <c r="AE56" i="138" s="1"/>
  <c r="AF56" i="138" s="1"/>
  <c r="AG56" i="138" s="1"/>
  <c r="AH56" i="138" s="1"/>
  <c r="AI56" i="138" s="1"/>
  <c r="AJ56" i="138" s="1"/>
  <c r="AK56" i="138" s="1"/>
  <c r="AL56" i="138" s="1"/>
  <c r="AM56" i="138" s="1"/>
  <c r="AN56" i="138" s="1"/>
  <c r="AO56" i="138" s="1"/>
  <c r="AP56" i="138" s="1"/>
  <c r="AQ56" i="138" s="1"/>
  <c r="AR56" i="138" s="1"/>
  <c r="AS56" i="138" s="1"/>
  <c r="AT56" i="138" s="1"/>
  <c r="AU56" i="138" s="1"/>
  <c r="AV56" i="138" s="1"/>
  <c r="AW56" i="138" s="1"/>
  <c r="AX56" i="138" s="1"/>
  <c r="AY56" i="138" s="1"/>
  <c r="AZ56" i="138" s="1"/>
  <c r="BA56" i="138" s="1"/>
  <c r="BB56" i="138" s="1"/>
  <c r="BC56" i="138" s="1"/>
  <c r="BD56" i="138" s="1"/>
  <c r="BE56" i="138" s="1"/>
  <c r="BF56" i="138" s="1"/>
  <c r="BG56" i="138" s="1"/>
  <c r="BH56" i="138" s="1"/>
  <c r="BI56" i="138" s="1"/>
  <c r="BJ56" i="138" s="1"/>
  <c r="BK56" i="138" s="1"/>
  <c r="BL56" i="138" s="1"/>
  <c r="BM56" i="138" s="1"/>
  <c r="BN56" i="138" s="1"/>
  <c r="BO56" i="138" s="1"/>
  <c r="BP56" i="138" s="1"/>
  <c r="BQ56" i="138" s="1"/>
  <c r="BR56" i="138" s="1"/>
  <c r="BS56" i="138" s="1"/>
  <c r="BT56" i="138" s="1"/>
  <c r="BU56" i="138" s="1"/>
  <c r="BV56" i="138" s="1"/>
  <c r="BW56" i="138" s="1"/>
  <c r="BX56" i="138" s="1"/>
  <c r="BY56" i="138" s="1"/>
  <c r="BZ56" i="138" s="1"/>
  <c r="CA56" i="138" s="1"/>
  <c r="D56" i="138"/>
  <c r="E56" i="138" s="1"/>
  <c r="F56" i="138" s="1"/>
  <c r="G56" i="138" s="1"/>
  <c r="H56" i="138" s="1"/>
  <c r="I56" i="138" s="1"/>
  <c r="J56" i="138" s="1"/>
  <c r="K56" i="138" s="1"/>
  <c r="L56" i="138" s="1"/>
  <c r="M56" i="138" s="1"/>
  <c r="N56" i="138" s="1"/>
  <c r="O56" i="138" s="1"/>
  <c r="P56" i="138" s="1"/>
  <c r="Q56" i="138" s="1"/>
  <c r="R56" i="138" s="1"/>
  <c r="S56" i="138" s="1"/>
  <c r="C56" i="138"/>
  <c r="BS48" i="138"/>
  <c r="BS47" i="138"/>
  <c r="BS46" i="138"/>
  <c r="BS45" i="138"/>
  <c r="BS44" i="138"/>
  <c r="BS43" i="138"/>
  <c r="B86" i="135"/>
  <c r="BS42" i="138"/>
  <c r="B47" i="134"/>
  <c r="BS41" i="138"/>
  <c r="B52" i="134"/>
  <c r="BS40" i="138"/>
  <c r="B55" i="134"/>
  <c r="BS39" i="138"/>
  <c r="B76" i="135"/>
  <c r="BS38" i="138"/>
  <c r="B62" i="129"/>
  <c r="BS37" i="138"/>
  <c r="B85" i="135"/>
  <c r="BS36" i="138"/>
  <c r="BS35" i="138"/>
  <c r="B59" i="129"/>
  <c r="BS34" i="138"/>
  <c r="B61" i="129"/>
  <c r="BS33" i="138"/>
  <c r="B63" i="129"/>
  <c r="BS32" i="138"/>
  <c r="AP32" i="138"/>
  <c r="AQ32" i="138" s="1"/>
  <c r="AI32" i="138"/>
  <c r="AJ32" i="138" s="1"/>
  <c r="AB32" i="138"/>
  <c r="AC32" i="138" s="1"/>
  <c r="U32" i="138"/>
  <c r="N32" i="138"/>
  <c r="O32" i="138" s="1"/>
  <c r="H32" i="138"/>
  <c r="G32" i="138"/>
  <c r="BS31" i="138"/>
  <c r="AP31" i="138"/>
  <c r="B57" i="129"/>
  <c r="BS30" i="138"/>
  <c r="B56" i="129"/>
  <c r="BS29" i="138"/>
  <c r="B54" i="129"/>
  <c r="BS28" i="138"/>
  <c r="B55" i="129"/>
  <c r="BS27" i="138"/>
  <c r="BS26" i="138"/>
  <c r="AI26" i="138"/>
  <c r="B74" i="135"/>
  <c r="BS25" i="138"/>
  <c r="B54" i="134"/>
  <c r="BS24" i="138"/>
  <c r="B73" i="135"/>
  <c r="BS23" i="138"/>
  <c r="B75" i="135"/>
  <c r="BS22" i="138"/>
  <c r="B53" i="134"/>
  <c r="BS21" i="138"/>
  <c r="B69" i="135"/>
  <c r="BS20" i="138"/>
  <c r="B81" i="135"/>
  <c r="BS19" i="138"/>
  <c r="B60" i="129"/>
  <c r="BS18" i="138"/>
  <c r="B70" i="135"/>
  <c r="BS17" i="138"/>
  <c r="B84" i="135"/>
  <c r="BS16" i="138"/>
  <c r="BU15" i="138"/>
  <c r="BV15" i="138" s="1"/>
  <c r="AY15" i="138"/>
  <c r="BS14" i="138"/>
  <c r="B51" i="134"/>
  <c r="BS13" i="138"/>
  <c r="B79" i="135"/>
  <c r="BS12" i="138"/>
  <c r="B78" i="135"/>
  <c r="BS11" i="138"/>
  <c r="B88" i="135"/>
  <c r="BS10" i="138"/>
  <c r="B49" i="134"/>
  <c r="BS9" i="138"/>
  <c r="B77" i="135"/>
  <c r="F7" i="138"/>
  <c r="E7" i="138"/>
  <c r="D7" i="138"/>
  <c r="C7" i="138"/>
  <c r="AB33" i="138" l="1"/>
  <c r="N16" i="138"/>
  <c r="AB28" i="138"/>
  <c r="AB29" i="138"/>
  <c r="AI41" i="138"/>
  <c r="AB30" i="138"/>
  <c r="N35" i="138"/>
  <c r="AP21" i="138"/>
  <c r="AI29" i="138"/>
  <c r="AP35" i="138"/>
  <c r="AB18" i="138"/>
  <c r="B56" i="134"/>
  <c r="AP43" i="138"/>
  <c r="C42" i="129"/>
  <c r="C49" i="135"/>
  <c r="C32" i="134"/>
  <c r="F89" i="135"/>
  <c r="G77" i="135" s="1"/>
  <c r="AB12" i="138"/>
  <c r="AP16" i="138"/>
  <c r="U27" i="138"/>
  <c r="N30" i="138"/>
  <c r="AI30" i="138"/>
  <c r="U47" i="138"/>
  <c r="AP17" i="138"/>
  <c r="AI35" i="138"/>
  <c r="N46" i="138"/>
  <c r="AI11" i="138"/>
  <c r="AI22" i="138"/>
  <c r="U29" i="138"/>
  <c r="N47" i="138"/>
  <c r="AP11" i="138"/>
  <c r="U22" i="138"/>
  <c r="AP47" i="138"/>
  <c r="N20" i="138"/>
  <c r="AI23" i="138"/>
  <c r="AI34" i="138"/>
  <c r="AI36" i="138"/>
  <c r="U44" i="138"/>
  <c r="N10" i="138"/>
  <c r="U18" i="138"/>
  <c r="AP20" i="138"/>
  <c r="U28" i="138"/>
  <c r="U34" i="138"/>
  <c r="N37" i="138"/>
  <c r="U45" i="138"/>
  <c r="AB9" i="138"/>
  <c r="AI16" i="138"/>
  <c r="U24" i="138"/>
  <c r="AP24" i="138"/>
  <c r="N27" i="138"/>
  <c r="AP25" i="138"/>
  <c r="U46" i="138"/>
  <c r="AP14" i="138"/>
  <c r="AP26" i="138"/>
  <c r="AI40" i="138"/>
  <c r="AI43" i="138"/>
  <c r="U13" i="138"/>
  <c r="U14" i="138"/>
  <c r="V32" i="138"/>
  <c r="AP40" i="138"/>
  <c r="C49" i="138"/>
  <c r="AB23" i="138"/>
  <c r="AP44" i="138"/>
  <c r="N22" i="138"/>
  <c r="AI31" i="138"/>
  <c r="AB38" i="138"/>
  <c r="N42" i="138"/>
  <c r="AP45" i="138"/>
  <c r="AP10" i="138"/>
  <c r="N13" i="138"/>
  <c r="U35" i="138"/>
  <c r="AB10" i="138"/>
  <c r="N12" i="138"/>
  <c r="N14" i="138"/>
  <c r="AP36" i="138"/>
  <c r="N39" i="138"/>
  <c r="AP41" i="138"/>
  <c r="AP42" i="138"/>
  <c r="AB45" i="138"/>
  <c r="AB11" i="138"/>
  <c r="AP12" i="138"/>
  <c r="AB16" i="138"/>
  <c r="AI19" i="138"/>
  <c r="N29" i="138"/>
  <c r="AP30" i="138"/>
  <c r="AB35" i="138"/>
  <c r="N21" i="138"/>
  <c r="AP29" i="138"/>
  <c r="B64" i="129"/>
  <c r="AP34" i="138"/>
  <c r="AI48" i="138"/>
  <c r="AB14" i="138"/>
  <c r="U21" i="138"/>
  <c r="AI28" i="138"/>
  <c r="U12" i="138"/>
  <c r="AP13" i="138"/>
  <c r="AI14" i="138"/>
  <c r="N18" i="138"/>
  <c r="AP22" i="138"/>
  <c r="N34" i="138"/>
  <c r="AP37" i="138"/>
  <c r="AI44" i="138"/>
  <c r="AI9" i="138"/>
  <c r="AI10" i="138"/>
  <c r="AI20" i="138"/>
  <c r="U23" i="138"/>
  <c r="N25" i="138"/>
  <c r="AI25" i="138"/>
  <c r="U38" i="138"/>
  <c r="N40" i="138"/>
  <c r="U42" i="138"/>
  <c r="N45" i="138"/>
  <c r="AP9" i="138"/>
  <c r="AP19" i="138"/>
  <c r="N26" i="138"/>
  <c r="N11" i="138"/>
  <c r="U19" i="138"/>
  <c r="AB13" i="138"/>
  <c r="AI17" i="138"/>
  <c r="AI21" i="138"/>
  <c r="AB22" i="138"/>
  <c r="N36" i="138"/>
  <c r="N41" i="138"/>
  <c r="AI42" i="138"/>
  <c r="AB24" i="138"/>
  <c r="N17" i="138"/>
  <c r="U20" i="138"/>
  <c r="N28" i="138"/>
  <c r="AI37" i="138"/>
  <c r="AB39" i="138"/>
  <c r="N9" i="138"/>
  <c r="N23" i="138"/>
  <c r="N38" i="138"/>
  <c r="N48" i="138"/>
  <c r="U31" i="138"/>
  <c r="AI39" i="138"/>
  <c r="AI33" i="138"/>
  <c r="AB46" i="138"/>
  <c r="AB17" i="138"/>
  <c r="AP18" i="138"/>
  <c r="AI24" i="138"/>
  <c r="AP28" i="138"/>
  <c r="AB31" i="138"/>
  <c r="AB36" i="138"/>
  <c r="AP38" i="138"/>
  <c r="U43" i="138"/>
  <c r="D49" i="138"/>
  <c r="E49" i="138"/>
  <c r="AI18" i="138"/>
  <c r="U16" i="138"/>
  <c r="U17" i="138"/>
  <c r="AB25" i="138"/>
  <c r="AI12" i="138"/>
  <c r="U9" i="138"/>
  <c r="U10" i="138"/>
  <c r="U11" i="138"/>
  <c r="AI13" i="138"/>
  <c r="AB19" i="138"/>
  <c r="BS49" i="138"/>
  <c r="U25" i="138"/>
  <c r="AB27" i="138"/>
  <c r="AB48" i="138"/>
  <c r="AB41" i="138"/>
  <c r="N19" i="138"/>
  <c r="AB21" i="138"/>
  <c r="N24" i="138"/>
  <c r="U26" i="138"/>
  <c r="U41" i="138"/>
  <c r="AB43" i="138"/>
  <c r="AI27" i="138"/>
  <c r="AB37" i="138"/>
  <c r="N43" i="138"/>
  <c r="AB47" i="138"/>
  <c r="F49" i="138"/>
  <c r="AP23" i="138"/>
  <c r="AB26" i="138"/>
  <c r="AB20" i="138"/>
  <c r="AP27" i="138"/>
  <c r="AP39" i="138"/>
  <c r="AB44" i="138"/>
  <c r="AI38" i="138"/>
  <c r="AI46" i="138"/>
  <c r="N33" i="138"/>
  <c r="AI45" i="138"/>
  <c r="U40" i="138"/>
  <c r="AI47" i="138"/>
  <c r="AP33" i="138"/>
  <c r="U39" i="138"/>
  <c r="U48" i="138"/>
  <c r="U36" i="138"/>
  <c r="U33" i="138"/>
  <c r="AB34" i="138"/>
  <c r="U30" i="138"/>
  <c r="N31" i="138"/>
  <c r="U37" i="138"/>
  <c r="AB40" i="138"/>
  <c r="AB42" i="138"/>
  <c r="N44" i="138"/>
  <c r="AP46" i="138"/>
  <c r="AP48" i="138"/>
  <c r="H83" i="135" l="1"/>
  <c r="G83" i="135"/>
  <c r="H71" i="135"/>
  <c r="H72" i="135"/>
  <c r="G80" i="135"/>
  <c r="G71" i="135"/>
  <c r="H82" i="135"/>
  <c r="G72" i="135"/>
  <c r="G82" i="135"/>
  <c r="H80" i="135"/>
  <c r="H87" i="135"/>
  <c r="G87" i="135"/>
  <c r="H85" i="135"/>
  <c r="G76" i="135"/>
  <c r="G84" i="135"/>
  <c r="G73" i="135"/>
  <c r="H73" i="135"/>
  <c r="G85" i="135"/>
  <c r="H69" i="135"/>
  <c r="H78" i="135"/>
  <c r="H74" i="135"/>
  <c r="G79" i="135"/>
  <c r="H76" i="135"/>
  <c r="H75" i="135"/>
  <c r="H88" i="135"/>
  <c r="G86" i="135"/>
  <c r="H70" i="135"/>
  <c r="G69" i="135"/>
  <c r="H81" i="135"/>
  <c r="H84" i="135"/>
  <c r="G75" i="135"/>
  <c r="G74" i="135"/>
  <c r="H86" i="135"/>
  <c r="H79" i="135"/>
  <c r="G70" i="135"/>
  <c r="G88" i="135"/>
  <c r="G81" i="135"/>
  <c r="G78" i="135"/>
  <c r="H77" i="135"/>
  <c r="G9" i="138"/>
  <c r="G25" i="138"/>
  <c r="G48" i="138"/>
  <c r="G35" i="138"/>
  <c r="G22" i="138"/>
  <c r="G27" i="138"/>
  <c r="G40" i="138"/>
  <c r="G23" i="138"/>
  <c r="G14" i="138"/>
  <c r="G26" i="138"/>
  <c r="G11" i="138"/>
  <c r="G28" i="138"/>
  <c r="G24" i="138"/>
  <c r="G41" i="138"/>
  <c r="G30" i="138"/>
  <c r="G47" i="138"/>
  <c r="G20" i="138"/>
  <c r="G16" i="138"/>
  <c r="G21" i="138"/>
  <c r="G42" i="138"/>
  <c r="G39" i="138"/>
  <c r="G12" i="138"/>
  <c r="G34" i="138"/>
  <c r="G31" i="138"/>
  <c r="G10" i="138"/>
  <c r="G44" i="138"/>
  <c r="G19" i="138"/>
  <c r="G29" i="138"/>
  <c r="G43" i="138"/>
  <c r="G18" i="138"/>
  <c r="G17" i="138"/>
  <c r="G13" i="138"/>
  <c r="G46" i="138"/>
  <c r="G37" i="138"/>
  <c r="G38" i="138"/>
  <c r="G33" i="138"/>
  <c r="G36" i="138"/>
  <c r="G45" i="138"/>
  <c r="I70" i="135" l="1"/>
  <c r="J70" i="135" s="1"/>
  <c r="L70" i="135" s="1"/>
  <c r="M76" i="135"/>
  <c r="N76" i="135" s="1"/>
  <c r="P76" i="135" s="1"/>
  <c r="M79" i="135"/>
  <c r="N79" i="135" s="1"/>
  <c r="P79" i="135" s="1"/>
  <c r="I80" i="135"/>
  <c r="J80" i="135" s="1"/>
  <c r="L80" i="135" s="1"/>
  <c r="I82" i="135"/>
  <c r="J82" i="135" s="1"/>
  <c r="L82" i="135" s="1"/>
  <c r="M82" i="135"/>
  <c r="N82" i="135" s="1"/>
  <c r="P82" i="135" s="1"/>
  <c r="I73" i="135"/>
  <c r="J73" i="135" s="1"/>
  <c r="L73" i="135" s="1"/>
  <c r="M72" i="135"/>
  <c r="N72" i="135" s="1"/>
  <c r="P72" i="135" s="1"/>
  <c r="I79" i="135"/>
  <c r="J79" i="135" s="1"/>
  <c r="L79" i="135" s="1"/>
  <c r="I72" i="135"/>
  <c r="J72" i="135" s="1"/>
  <c r="L72" i="135" s="1"/>
  <c r="I71" i="135"/>
  <c r="J71" i="135" s="1"/>
  <c r="L71" i="135" s="1"/>
  <c r="M77" i="135"/>
  <c r="N77" i="135" s="1"/>
  <c r="P77" i="135" s="1"/>
  <c r="M70" i="135"/>
  <c r="N70" i="135" s="1"/>
  <c r="P70" i="135" s="1"/>
  <c r="I84" i="135"/>
  <c r="J84" i="135" s="1"/>
  <c r="L84" i="135" s="1"/>
  <c r="M71" i="135"/>
  <c r="N71" i="135" s="1"/>
  <c r="P71" i="135" s="1"/>
  <c r="M74" i="135"/>
  <c r="N74" i="135" s="1"/>
  <c r="P74" i="135" s="1"/>
  <c r="I75" i="135"/>
  <c r="J75" i="135" s="1"/>
  <c r="L75" i="135" s="1"/>
  <c r="I85" i="135"/>
  <c r="J85" i="135" s="1"/>
  <c r="L85" i="135" s="1"/>
  <c r="I69" i="135"/>
  <c r="G89" i="135"/>
  <c r="I76" i="135"/>
  <c r="J76" i="135" s="1"/>
  <c r="L76" i="135" s="1"/>
  <c r="I83" i="135"/>
  <c r="J83" i="135" s="1"/>
  <c r="L83" i="135" s="1"/>
  <c r="M80" i="135"/>
  <c r="N80" i="135" s="1"/>
  <c r="P80" i="135" s="1"/>
  <c r="M78" i="135"/>
  <c r="N78" i="135" s="1"/>
  <c r="P78" i="135" s="1"/>
  <c r="M69" i="135"/>
  <c r="H89" i="135"/>
  <c r="M73" i="135"/>
  <c r="N73" i="135" s="1"/>
  <c r="P73" i="135" s="1"/>
  <c r="I86" i="135"/>
  <c r="J86" i="135" s="1"/>
  <c r="L86" i="135" s="1"/>
  <c r="I81" i="135"/>
  <c r="J81" i="135" s="1"/>
  <c r="L81" i="135" s="1"/>
  <c r="M88" i="135"/>
  <c r="N88" i="135" s="1"/>
  <c r="P88" i="135" s="1"/>
  <c r="M85" i="135"/>
  <c r="N85" i="135" s="1"/>
  <c r="P85" i="135" s="1"/>
  <c r="M83" i="135"/>
  <c r="N83" i="135" s="1"/>
  <c r="P83" i="135" s="1"/>
  <c r="M87" i="135"/>
  <c r="N87" i="135" s="1"/>
  <c r="P87" i="135" s="1"/>
  <c r="M86" i="135"/>
  <c r="N86" i="135" s="1"/>
  <c r="P86" i="135" s="1"/>
  <c r="I74" i="135"/>
  <c r="J74" i="135" s="1"/>
  <c r="L74" i="135" s="1"/>
  <c r="M84" i="135"/>
  <c r="N84" i="135" s="1"/>
  <c r="P84" i="135" s="1"/>
  <c r="M81" i="135"/>
  <c r="N81" i="135" s="1"/>
  <c r="P81" i="135" s="1"/>
  <c r="I78" i="135"/>
  <c r="J78" i="135" s="1"/>
  <c r="L78" i="135" s="1"/>
  <c r="I88" i="135"/>
  <c r="J88" i="135" s="1"/>
  <c r="L88" i="135" s="1"/>
  <c r="M75" i="135"/>
  <c r="N75" i="135" s="1"/>
  <c r="P75" i="135" s="1"/>
  <c r="I87" i="135"/>
  <c r="J87" i="135" s="1"/>
  <c r="L87" i="135" s="1"/>
  <c r="I77" i="135"/>
  <c r="J77" i="135" s="1"/>
  <c r="L77" i="135" s="1"/>
  <c r="H24" i="138"/>
  <c r="AJ24" i="138" s="1"/>
  <c r="H27" i="138"/>
  <c r="AC27" i="138" s="1"/>
  <c r="H29" i="138"/>
  <c r="H19" i="138"/>
  <c r="H44" i="138"/>
  <c r="H10" i="138"/>
  <c r="H13" i="138"/>
  <c r="H40" i="138"/>
  <c r="H25" i="138"/>
  <c r="H12" i="138"/>
  <c r="H35" i="138"/>
  <c r="H45" i="138"/>
  <c r="H28" i="138"/>
  <c r="H36" i="138"/>
  <c r="H11" i="138"/>
  <c r="H33" i="138"/>
  <c r="H26" i="138"/>
  <c r="H38" i="138"/>
  <c r="H37" i="138"/>
  <c r="H47" i="138"/>
  <c r="H46" i="138"/>
  <c r="H14" i="138"/>
  <c r="H17" i="138"/>
  <c r="H48" i="138"/>
  <c r="H23" i="138"/>
  <c r="H22" i="138"/>
  <c r="H39" i="138"/>
  <c r="H42" i="138"/>
  <c r="H21" i="138"/>
  <c r="H16" i="138"/>
  <c r="H20" i="138"/>
  <c r="H31" i="138"/>
  <c r="H34" i="138"/>
  <c r="H18" i="138"/>
  <c r="G49" i="138"/>
  <c r="H30" i="138"/>
  <c r="H43" i="138"/>
  <c r="H9" i="138"/>
  <c r="H41" i="138"/>
  <c r="V24" i="138" l="1"/>
  <c r="AQ24" i="138"/>
  <c r="AC24" i="138"/>
  <c r="O24" i="138"/>
  <c r="O27" i="138"/>
  <c r="AJ27" i="138"/>
  <c r="AQ27" i="138"/>
  <c r="V27" i="138"/>
  <c r="N69" i="135"/>
  <c r="N89" i="135" s="1"/>
  <c r="M89" i="135"/>
  <c r="I89" i="135"/>
  <c r="J69" i="135"/>
  <c r="J89" i="135" s="1"/>
  <c r="V16" i="138"/>
  <c r="O16" i="138"/>
  <c r="AJ16" i="138"/>
  <c r="AQ16" i="138"/>
  <c r="AC16" i="138"/>
  <c r="AC21" i="138"/>
  <c r="AQ21" i="138"/>
  <c r="AJ21" i="138"/>
  <c r="V21" i="138"/>
  <c r="O21" i="138"/>
  <c r="O42" i="138"/>
  <c r="AJ42" i="138"/>
  <c r="V42" i="138"/>
  <c r="AC42" i="138"/>
  <c r="AQ42" i="138"/>
  <c r="AJ39" i="138"/>
  <c r="O39" i="138"/>
  <c r="V39" i="138"/>
  <c r="AC39" i="138"/>
  <c r="AQ39" i="138"/>
  <c r="V48" i="138"/>
  <c r="AC48" i="138"/>
  <c r="O48" i="138"/>
  <c r="AJ48" i="138"/>
  <c r="AQ48" i="138"/>
  <c r="AQ45" i="138"/>
  <c r="AC45" i="138"/>
  <c r="O45" i="138"/>
  <c r="AJ45" i="138"/>
  <c r="V45" i="138"/>
  <c r="AJ38" i="138"/>
  <c r="V38" i="138"/>
  <c r="AQ38" i="138"/>
  <c r="AC38" i="138"/>
  <c r="O38" i="138"/>
  <c r="AQ33" i="138"/>
  <c r="O33" i="138"/>
  <c r="AJ33" i="138"/>
  <c r="V33" i="138"/>
  <c r="AC33" i="138"/>
  <c r="O41" i="138"/>
  <c r="V41" i="138"/>
  <c r="AC41" i="138"/>
  <c r="AQ41" i="138"/>
  <c r="AJ41" i="138"/>
  <c r="AC22" i="138"/>
  <c r="AQ22" i="138"/>
  <c r="O22" i="138"/>
  <c r="V22" i="138"/>
  <c r="AJ22" i="138"/>
  <c r="AC43" i="138"/>
  <c r="O43" i="138"/>
  <c r="AJ43" i="138"/>
  <c r="AQ43" i="138"/>
  <c r="V43" i="138"/>
  <c r="AJ28" i="138"/>
  <c r="AQ28" i="138"/>
  <c r="AC28" i="138"/>
  <c r="V28" i="138"/>
  <c r="O28" i="138"/>
  <c r="AJ30" i="138"/>
  <c r="O30" i="138"/>
  <c r="AQ30" i="138"/>
  <c r="AC30" i="138"/>
  <c r="V30" i="138"/>
  <c r="AJ17" i="138"/>
  <c r="V17" i="138"/>
  <c r="AC17" i="138"/>
  <c r="O17" i="138"/>
  <c r="AQ17" i="138"/>
  <c r="AJ18" i="138"/>
  <c r="V18" i="138"/>
  <c r="AQ18" i="138"/>
  <c r="AC18" i="138"/>
  <c r="O18" i="138"/>
  <c r="O14" i="138"/>
  <c r="AJ14" i="138"/>
  <c r="AQ14" i="138"/>
  <c r="AC14" i="138"/>
  <c r="V14" i="138"/>
  <c r="AJ12" i="138"/>
  <c r="V12" i="138"/>
  <c r="AC12" i="138"/>
  <c r="O12" i="138"/>
  <c r="AQ12" i="138"/>
  <c r="V26" i="138"/>
  <c r="AC26" i="138"/>
  <c r="O26" i="138"/>
  <c r="AQ26" i="138"/>
  <c r="AJ26" i="138"/>
  <c r="AQ29" i="138"/>
  <c r="V29" i="138"/>
  <c r="AJ29" i="138"/>
  <c r="AC29" i="138"/>
  <c r="O29" i="138"/>
  <c r="V36" i="138"/>
  <c r="AC36" i="138"/>
  <c r="AJ36" i="138"/>
  <c r="AQ36" i="138"/>
  <c r="O36" i="138"/>
  <c r="AQ23" i="138"/>
  <c r="O23" i="138"/>
  <c r="AC23" i="138"/>
  <c r="V23" i="138"/>
  <c r="AJ23" i="138"/>
  <c r="AQ34" i="138"/>
  <c r="O34" i="138"/>
  <c r="V34" i="138"/>
  <c r="AC34" i="138"/>
  <c r="AJ34" i="138"/>
  <c r="V31" i="138"/>
  <c r="AJ31" i="138"/>
  <c r="O31" i="138"/>
  <c r="AC31" i="138"/>
  <c r="AQ31" i="138"/>
  <c r="AQ47" i="138"/>
  <c r="AC47" i="138"/>
  <c r="AJ47" i="138"/>
  <c r="O47" i="138"/>
  <c r="V47" i="138"/>
  <c r="AJ40" i="138"/>
  <c r="V40" i="138"/>
  <c r="O40" i="138"/>
  <c r="AQ40" i="138"/>
  <c r="AC40" i="138"/>
  <c r="V10" i="138"/>
  <c r="O10" i="138"/>
  <c r="AJ10" i="138"/>
  <c r="AC10" i="138"/>
  <c r="AQ10" i="138"/>
  <c r="AC44" i="138"/>
  <c r="V44" i="138"/>
  <c r="AQ44" i="138"/>
  <c r="AJ44" i="138"/>
  <c r="O44" i="138"/>
  <c r="AQ19" i="138"/>
  <c r="AC19" i="138"/>
  <c r="AJ19" i="138"/>
  <c r="V19" i="138"/>
  <c r="O19" i="138"/>
  <c r="AJ11" i="138"/>
  <c r="V11" i="138"/>
  <c r="AC11" i="138"/>
  <c r="O11" i="138"/>
  <c r="AQ11" i="138"/>
  <c r="H49" i="138"/>
  <c r="V9" i="138"/>
  <c r="AQ9" i="138"/>
  <c r="O9" i="138"/>
  <c r="AJ9" i="138"/>
  <c r="AC9" i="138"/>
  <c r="AQ35" i="138"/>
  <c r="AC35" i="138"/>
  <c r="AJ35" i="138"/>
  <c r="O35" i="138"/>
  <c r="V35" i="138"/>
  <c r="AQ46" i="138"/>
  <c r="O46" i="138"/>
  <c r="AJ46" i="138"/>
  <c r="V46" i="138"/>
  <c r="AC46" i="138"/>
  <c r="AC25" i="138"/>
  <c r="O25" i="138"/>
  <c r="AQ25" i="138"/>
  <c r="AJ25" i="138"/>
  <c r="V25" i="138"/>
  <c r="O20" i="138"/>
  <c r="AJ20" i="138"/>
  <c r="V20" i="138"/>
  <c r="AQ20" i="138"/>
  <c r="AC20" i="138"/>
  <c r="V37" i="138"/>
  <c r="AQ37" i="138"/>
  <c r="O37" i="138"/>
  <c r="AC37" i="138"/>
  <c r="AJ37" i="138"/>
  <c r="AJ13" i="138"/>
  <c r="AQ13" i="138"/>
  <c r="AC13" i="138"/>
  <c r="O13" i="138"/>
  <c r="V13" i="138"/>
  <c r="L69" i="135" l="1"/>
  <c r="L89" i="135" s="1"/>
  <c r="P69" i="135"/>
  <c r="P89" i="135" s="1"/>
  <c r="W35" i="138"/>
  <c r="AU35" i="138" s="1"/>
  <c r="BA35" i="138" s="1"/>
  <c r="AR19" i="138"/>
  <c r="AX19" i="138" s="1"/>
  <c r="BD19" i="138" s="1"/>
  <c r="P10" i="138"/>
  <c r="AT10" i="138" s="1"/>
  <c r="AZ10" i="138" s="1"/>
  <c r="P24" i="138"/>
  <c r="AT24" i="138" s="1"/>
  <c r="AD43" i="138"/>
  <c r="AV43" i="138" s="1"/>
  <c r="BB43" i="138" s="1"/>
  <c r="AR38" i="138"/>
  <c r="AX38" i="138" s="1"/>
  <c r="BD38" i="138" s="1"/>
  <c r="AK30" i="138"/>
  <c r="AW30" i="138" s="1"/>
  <c r="BC30" i="138" s="1"/>
  <c r="AZ24" i="138"/>
  <c r="W25" i="138"/>
  <c r="AU25" i="138" s="1"/>
  <c r="BA25" i="138" s="1"/>
  <c r="V49" i="138"/>
  <c r="W9" i="138"/>
  <c r="W32" i="138"/>
  <c r="AU32" i="138" s="1"/>
  <c r="BA32" i="138" s="1"/>
  <c r="AD34" i="138"/>
  <c r="AV34" i="138" s="1"/>
  <c r="BB34" i="138" s="1"/>
  <c r="AR16" i="138"/>
  <c r="AX16" i="138" s="1"/>
  <c r="BD16" i="138" s="1"/>
  <c r="AD47" i="138"/>
  <c r="AV47" i="138" s="1"/>
  <c r="BB47" i="138" s="1"/>
  <c r="AR26" i="138"/>
  <c r="AX26" i="138" s="1"/>
  <c r="BD26" i="138" s="1"/>
  <c r="P48" i="138"/>
  <c r="AT48" i="138" s="1"/>
  <c r="P44" i="138"/>
  <c r="AT44" i="138" s="1"/>
  <c r="AD36" i="138"/>
  <c r="AV36" i="138" s="1"/>
  <c r="BB36" i="138" s="1"/>
  <c r="AD48" i="138"/>
  <c r="AV48" i="138" s="1"/>
  <c r="BB48" i="138" s="1"/>
  <c r="AD25" i="138"/>
  <c r="AV25" i="138" s="1"/>
  <c r="BB25" i="138" s="1"/>
  <c r="P31" i="138"/>
  <c r="AT31" i="138" s="1"/>
  <c r="P21" i="138"/>
  <c r="AT21" i="138" s="1"/>
  <c r="W13" i="138"/>
  <c r="AU13" i="138" s="1"/>
  <c r="BA13" i="138" s="1"/>
  <c r="AD20" i="138"/>
  <c r="AV20" i="138" s="1"/>
  <c r="BB20" i="138" s="1"/>
  <c r="W24" i="138"/>
  <c r="AU24" i="138" s="1"/>
  <c r="BA24" i="138" s="1"/>
  <c r="W11" i="138"/>
  <c r="AU11" i="138" s="1"/>
  <c r="BA11" i="138" s="1"/>
  <c r="W40" i="138"/>
  <c r="AU40" i="138" s="1"/>
  <c r="BA40" i="138" s="1"/>
  <c r="AK31" i="138"/>
  <c r="AW31" i="138" s="1"/>
  <c r="BC31" i="138" s="1"/>
  <c r="AD23" i="138"/>
  <c r="AV23" i="138" s="1"/>
  <c r="BB23" i="138" s="1"/>
  <c r="P14" i="138"/>
  <c r="AT14" i="138" s="1"/>
  <c r="AK17" i="138"/>
  <c r="AW17" i="138" s="1"/>
  <c r="BC17" i="138" s="1"/>
  <c r="AK28" i="138"/>
  <c r="AW28" i="138" s="1"/>
  <c r="BC28" i="138" s="1"/>
  <c r="AD22" i="138"/>
  <c r="AV22" i="138" s="1"/>
  <c r="BB22" i="138" s="1"/>
  <c r="P33" i="138"/>
  <c r="AT33" i="138" s="1"/>
  <c r="AD39" i="138"/>
  <c r="AV39" i="138" s="1"/>
  <c r="BB39" i="138" s="1"/>
  <c r="W21" i="138"/>
  <c r="AU21" i="138" s="1"/>
  <c r="BA21" i="138" s="1"/>
  <c r="P41" i="138"/>
  <c r="AT41" i="138" s="1"/>
  <c r="AR11" i="138"/>
  <c r="AX11" i="138" s="1"/>
  <c r="BD11" i="138" s="1"/>
  <c r="AK38" i="138"/>
  <c r="AW38" i="138" s="1"/>
  <c r="BC38" i="138" s="1"/>
  <c r="W44" i="138"/>
  <c r="AU44" i="138" s="1"/>
  <c r="BA44" i="138" s="1"/>
  <c r="AR39" i="138"/>
  <c r="AX39" i="138" s="1"/>
  <c r="BD39" i="138" s="1"/>
  <c r="P13" i="138"/>
  <c r="AT13" i="138" s="1"/>
  <c r="AR20" i="138"/>
  <c r="AX20" i="138" s="1"/>
  <c r="BD20" i="138" s="1"/>
  <c r="AD46" i="138"/>
  <c r="AV46" i="138" s="1"/>
  <c r="BB46" i="138" s="1"/>
  <c r="AC49" i="138"/>
  <c r="AD9" i="138"/>
  <c r="AD32" i="138"/>
  <c r="AV32" i="138" s="1"/>
  <c r="BB32" i="138" s="1"/>
  <c r="AK11" i="138"/>
  <c r="AW11" i="138" s="1"/>
  <c r="BC11" i="138" s="1"/>
  <c r="AD44" i="138"/>
  <c r="AV44" i="138" s="1"/>
  <c r="BB44" i="138" s="1"/>
  <c r="AK40" i="138"/>
  <c r="AW40" i="138" s="1"/>
  <c r="BC40" i="138" s="1"/>
  <c r="W31" i="138"/>
  <c r="AU31" i="138" s="1"/>
  <c r="BA31" i="138" s="1"/>
  <c r="P23" i="138"/>
  <c r="AT23" i="138" s="1"/>
  <c r="AK29" i="138"/>
  <c r="AW29" i="138" s="1"/>
  <c r="BC29" i="138" s="1"/>
  <c r="AR12" i="138"/>
  <c r="AX12" i="138" s="1"/>
  <c r="BD12" i="138" s="1"/>
  <c r="P18" i="138"/>
  <c r="AT18" i="138" s="1"/>
  <c r="W27" i="138"/>
  <c r="AU27" i="138" s="1"/>
  <c r="BA27" i="138" s="1"/>
  <c r="AR33" i="138"/>
  <c r="AX33" i="138" s="1"/>
  <c r="BD33" i="138" s="1"/>
  <c r="P45" i="138"/>
  <c r="AT45" i="138" s="1"/>
  <c r="AK21" i="138"/>
  <c r="AW21" i="138" s="1"/>
  <c r="BC21" i="138" s="1"/>
  <c r="AK12" i="138"/>
  <c r="AW12" i="138" s="1"/>
  <c r="BC12" i="138" s="1"/>
  <c r="AD42" i="138"/>
  <c r="AV42" i="138" s="1"/>
  <c r="BB42" i="138" s="1"/>
  <c r="AK25" i="138"/>
  <c r="AW25" i="138" s="1"/>
  <c r="BC25" i="138" s="1"/>
  <c r="W34" i="138"/>
  <c r="AU34" i="138" s="1"/>
  <c r="BA34" i="138" s="1"/>
  <c r="AR17" i="138"/>
  <c r="AX17" i="138" s="1"/>
  <c r="BD17" i="138" s="1"/>
  <c r="W42" i="138"/>
  <c r="AU42" i="138" s="1"/>
  <c r="BA42" i="138" s="1"/>
  <c r="AD37" i="138"/>
  <c r="AV37" i="138" s="1"/>
  <c r="BB37" i="138" s="1"/>
  <c r="AR47" i="138"/>
  <c r="AX47" i="138" s="1"/>
  <c r="BD47" i="138" s="1"/>
  <c r="AD14" i="138"/>
  <c r="AV14" i="138" s="1"/>
  <c r="BB14" i="138" s="1"/>
  <c r="AK42" i="138"/>
  <c r="AW42" i="138" s="1"/>
  <c r="BC42" i="138" s="1"/>
  <c r="P37" i="138"/>
  <c r="AT37" i="138" s="1"/>
  <c r="AD11" i="138"/>
  <c r="AV11" i="138" s="1"/>
  <c r="BB11" i="138" s="1"/>
  <c r="W23" i="138"/>
  <c r="AU23" i="138" s="1"/>
  <c r="BA23" i="138" s="1"/>
  <c r="AK27" i="138"/>
  <c r="AW27" i="138" s="1"/>
  <c r="BC27" i="138" s="1"/>
  <c r="W17" i="138"/>
  <c r="AU17" i="138" s="1"/>
  <c r="BA17" i="138" s="1"/>
  <c r="AK45" i="138"/>
  <c r="AW45" i="138" s="1"/>
  <c r="BC45" i="138" s="1"/>
  <c r="AD13" i="138"/>
  <c r="AV13" i="138" s="1"/>
  <c r="BB13" i="138" s="1"/>
  <c r="W20" i="138"/>
  <c r="AU20" i="138" s="1"/>
  <c r="BA20" i="138" s="1"/>
  <c r="W46" i="138"/>
  <c r="AU46" i="138" s="1"/>
  <c r="BA46" i="138" s="1"/>
  <c r="AJ49" i="138"/>
  <c r="AK9" i="138"/>
  <c r="AK32" i="138"/>
  <c r="AW32" i="138" s="1"/>
  <c r="BC32" i="138" s="1"/>
  <c r="P19" i="138"/>
  <c r="AT19" i="138" s="1"/>
  <c r="AR10" i="138"/>
  <c r="AX10" i="138" s="1"/>
  <c r="BD10" i="138" s="1"/>
  <c r="W29" i="138"/>
  <c r="AU29" i="138" s="1"/>
  <c r="BA29" i="138" s="1"/>
  <c r="AD18" i="138"/>
  <c r="AV18" i="138" s="1"/>
  <c r="BB18" i="138" s="1"/>
  <c r="W30" i="138"/>
  <c r="AU30" i="138" s="1"/>
  <c r="BA30" i="138" s="1"/>
  <c r="W43" i="138"/>
  <c r="AU43" i="138" s="1"/>
  <c r="BA43" i="138" s="1"/>
  <c r="AK41" i="138"/>
  <c r="AW41" i="138" s="1"/>
  <c r="BC41" i="138" s="1"/>
  <c r="AD27" i="138"/>
  <c r="AV27" i="138" s="1"/>
  <c r="BB27" i="138" s="1"/>
  <c r="AD45" i="138"/>
  <c r="AV45" i="138" s="1"/>
  <c r="BB45" i="138" s="1"/>
  <c r="W39" i="138"/>
  <c r="AU39" i="138" s="1"/>
  <c r="BA39" i="138" s="1"/>
  <c r="AR36" i="138"/>
  <c r="AX36" i="138" s="1"/>
  <c r="BD36" i="138" s="1"/>
  <c r="AK37" i="138"/>
  <c r="AW37" i="138" s="1"/>
  <c r="BC37" i="138" s="1"/>
  <c r="W10" i="138"/>
  <c r="AU10" i="138" s="1"/>
  <c r="BA10" i="138" s="1"/>
  <c r="AK36" i="138"/>
  <c r="AW36" i="138" s="1"/>
  <c r="BC36" i="138" s="1"/>
  <c r="AK16" i="138"/>
  <c r="AW16" i="138" s="1"/>
  <c r="BC16" i="138" s="1"/>
  <c r="P27" i="138"/>
  <c r="AT27" i="138" s="1"/>
  <c r="P34" i="138"/>
  <c r="AT34" i="138" s="1"/>
  <c r="AK22" i="138"/>
  <c r="AW22" i="138" s="1"/>
  <c r="BC22" i="138" s="1"/>
  <c r="AR35" i="138"/>
  <c r="AX35" i="138" s="1"/>
  <c r="BD35" i="138" s="1"/>
  <c r="AD29" i="138"/>
  <c r="AV29" i="138" s="1"/>
  <c r="BB29" i="138" s="1"/>
  <c r="AR13" i="138"/>
  <c r="AX13" i="138" s="1"/>
  <c r="BD13" i="138" s="1"/>
  <c r="AK20" i="138"/>
  <c r="AW20" i="138" s="1"/>
  <c r="BC20" i="138" s="1"/>
  <c r="AK46" i="138"/>
  <c r="AW46" i="138" s="1"/>
  <c r="BC46" i="138" s="1"/>
  <c r="W19" i="138"/>
  <c r="AU19" i="138" s="1"/>
  <c r="BA19" i="138" s="1"/>
  <c r="AD10" i="138"/>
  <c r="AV10" i="138" s="1"/>
  <c r="BB10" i="138" s="1"/>
  <c r="W47" i="138"/>
  <c r="AU47" i="138" s="1"/>
  <c r="BA47" i="138" s="1"/>
  <c r="AR24" i="138"/>
  <c r="AX24" i="138" s="1"/>
  <c r="BD24" i="138" s="1"/>
  <c r="AR23" i="138"/>
  <c r="AX23" i="138" s="1"/>
  <c r="BD23" i="138" s="1"/>
  <c r="AR29" i="138"/>
  <c r="AX29" i="138" s="1"/>
  <c r="BD29" i="138" s="1"/>
  <c r="P12" i="138"/>
  <c r="AT12" i="138" s="1"/>
  <c r="AR18" i="138"/>
  <c r="AX18" i="138" s="1"/>
  <c r="BD18" i="138" s="1"/>
  <c r="AD30" i="138"/>
  <c r="AV30" i="138" s="1"/>
  <c r="BB30" i="138" s="1"/>
  <c r="AR43" i="138"/>
  <c r="AX43" i="138" s="1"/>
  <c r="BD43" i="138" s="1"/>
  <c r="AR41" i="138"/>
  <c r="AX41" i="138" s="1"/>
  <c r="BD41" i="138" s="1"/>
  <c r="P38" i="138"/>
  <c r="AT38" i="138" s="1"/>
  <c r="AR45" i="138"/>
  <c r="AX45" i="138" s="1"/>
  <c r="BD45" i="138" s="1"/>
  <c r="P39" i="138"/>
  <c r="AT39" i="138" s="1"/>
  <c r="AR21" i="138"/>
  <c r="AX21" i="138" s="1"/>
  <c r="BD21" i="138" s="1"/>
  <c r="AR25" i="138"/>
  <c r="AX25" i="138" s="1"/>
  <c r="BD25" i="138" s="1"/>
  <c r="AD33" i="138"/>
  <c r="AV33" i="138" s="1"/>
  <c r="BB33" i="138" s="1"/>
  <c r="P40" i="138"/>
  <c r="AT40" i="138" s="1"/>
  <c r="AR22" i="138"/>
  <c r="AX22" i="138" s="1"/>
  <c r="BD22" i="138" s="1"/>
  <c r="AK13" i="138"/>
  <c r="AW13" i="138" s="1"/>
  <c r="BC13" i="138" s="1"/>
  <c r="P46" i="138"/>
  <c r="AT46" i="138" s="1"/>
  <c r="O49" i="138"/>
  <c r="P32" i="138"/>
  <c r="AT32" i="138" s="1"/>
  <c r="P9" i="138"/>
  <c r="AK19" i="138"/>
  <c r="AW19" i="138" s="1"/>
  <c r="BC19" i="138" s="1"/>
  <c r="AK10" i="138"/>
  <c r="AW10" i="138" s="1"/>
  <c r="BC10" i="138" s="1"/>
  <c r="P47" i="138"/>
  <c r="AT47" i="138" s="1"/>
  <c r="AR27" i="138"/>
  <c r="AX27" i="138" s="1"/>
  <c r="BD27" i="138" s="1"/>
  <c r="AD12" i="138"/>
  <c r="AV12" i="138" s="1"/>
  <c r="BB12" i="138" s="1"/>
  <c r="W18" i="138"/>
  <c r="AU18" i="138" s="1"/>
  <c r="BA18" i="138" s="1"/>
  <c r="AR30" i="138"/>
  <c r="AX30" i="138" s="1"/>
  <c r="BD30" i="138" s="1"/>
  <c r="AK43" i="138"/>
  <c r="AW43" i="138" s="1"/>
  <c r="BC43" i="138" s="1"/>
  <c r="AD41" i="138"/>
  <c r="AV41" i="138" s="1"/>
  <c r="BB41" i="138" s="1"/>
  <c r="AD38" i="138"/>
  <c r="AV38" i="138" s="1"/>
  <c r="BB38" i="138" s="1"/>
  <c r="AR48" i="138"/>
  <c r="AX48" i="138" s="1"/>
  <c r="BD48" i="138" s="1"/>
  <c r="AK39" i="138"/>
  <c r="AW39" i="138" s="1"/>
  <c r="BC39" i="138" s="1"/>
  <c r="AD21" i="138"/>
  <c r="AV21" i="138" s="1"/>
  <c r="BB21" i="138" s="1"/>
  <c r="P35" i="138"/>
  <c r="AT35" i="138" s="1"/>
  <c r="W37" i="138"/>
  <c r="AU37" i="138" s="1"/>
  <c r="BA37" i="138" s="1"/>
  <c r="AR28" i="138"/>
  <c r="AX28" i="138" s="1"/>
  <c r="BD28" i="138" s="1"/>
  <c r="P20" i="138"/>
  <c r="AT20" i="138" s="1"/>
  <c r="AR46" i="138"/>
  <c r="AX46" i="138" s="1"/>
  <c r="BD46" i="138" s="1"/>
  <c r="AQ49" i="138"/>
  <c r="AR9" i="138"/>
  <c r="AR32" i="138"/>
  <c r="AX32" i="138" s="1"/>
  <c r="BD32" i="138" s="1"/>
  <c r="AD19" i="138"/>
  <c r="AV19" i="138" s="1"/>
  <c r="BB19" i="138" s="1"/>
  <c r="AK47" i="138"/>
  <c r="AW47" i="138" s="1"/>
  <c r="BC47" i="138" s="1"/>
  <c r="AK34" i="138"/>
  <c r="AW34" i="138" s="1"/>
  <c r="BC34" i="138" s="1"/>
  <c r="P36" i="138"/>
  <c r="AT36" i="138" s="1"/>
  <c r="AK26" i="138"/>
  <c r="AW26" i="138" s="1"/>
  <c r="BC26" i="138" s="1"/>
  <c r="W12" i="138"/>
  <c r="AU12" i="138" s="1"/>
  <c r="BA12" i="138" s="1"/>
  <c r="AK18" i="138"/>
  <c r="AW18" i="138" s="1"/>
  <c r="BC18" i="138" s="1"/>
  <c r="P30" i="138"/>
  <c r="AT30" i="138" s="1"/>
  <c r="P43" i="138"/>
  <c r="AT43" i="138" s="1"/>
  <c r="W41" i="138"/>
  <c r="AU41" i="138" s="1"/>
  <c r="BA41" i="138" s="1"/>
  <c r="AK48" i="138"/>
  <c r="AW48" i="138" s="1"/>
  <c r="BC48" i="138" s="1"/>
  <c r="AR42" i="138"/>
  <c r="AX42" i="138" s="1"/>
  <c r="BD42" i="138" s="1"/>
  <c r="AD16" i="138"/>
  <c r="AV16" i="138" s="1"/>
  <c r="BB16" i="138" s="1"/>
  <c r="W14" i="138"/>
  <c r="AU14" i="138" s="1"/>
  <c r="BA14" i="138" s="1"/>
  <c r="P26" i="138"/>
  <c r="AT26" i="138" s="1"/>
  <c r="AK35" i="138"/>
  <c r="AW35" i="138" s="1"/>
  <c r="BC35" i="138" s="1"/>
  <c r="AK44" i="138"/>
  <c r="AW44" i="138" s="1"/>
  <c r="BC44" i="138" s="1"/>
  <c r="AR31" i="138"/>
  <c r="AX31" i="138" s="1"/>
  <c r="BD31" i="138" s="1"/>
  <c r="W36" i="138"/>
  <c r="AU36" i="138" s="1"/>
  <c r="BA36" i="138" s="1"/>
  <c r="AD26" i="138"/>
  <c r="AV26" i="138" s="1"/>
  <c r="BB26" i="138" s="1"/>
  <c r="AR14" i="138"/>
  <c r="AX14" i="138" s="1"/>
  <c r="BD14" i="138" s="1"/>
  <c r="P17" i="138"/>
  <c r="AT17" i="138" s="1"/>
  <c r="W28" i="138"/>
  <c r="AU28" i="138" s="1"/>
  <c r="BA28" i="138" s="1"/>
  <c r="W22" i="138"/>
  <c r="AU22" i="138" s="1"/>
  <c r="BA22" i="138" s="1"/>
  <c r="W33" i="138"/>
  <c r="AU33" i="138" s="1"/>
  <c r="BA33" i="138" s="1"/>
  <c r="W48" i="138"/>
  <c r="AU48" i="138" s="1"/>
  <c r="BA48" i="138" s="1"/>
  <c r="P16" i="138"/>
  <c r="AT16" i="138" s="1"/>
  <c r="W38" i="138"/>
  <c r="AU38" i="138" s="1"/>
  <c r="BA38" i="138" s="1"/>
  <c r="P28" i="138"/>
  <c r="AT28" i="138" s="1"/>
  <c r="AD40" i="138"/>
  <c r="AV40" i="138" s="1"/>
  <c r="BB40" i="138" s="1"/>
  <c r="AR34" i="138"/>
  <c r="AX34" i="138" s="1"/>
  <c r="BD34" i="138" s="1"/>
  <c r="AK24" i="138"/>
  <c r="AW24" i="138" s="1"/>
  <c r="BC24" i="138" s="1"/>
  <c r="AR37" i="138"/>
  <c r="AX37" i="138" s="1"/>
  <c r="BD37" i="138" s="1"/>
  <c r="P25" i="138"/>
  <c r="AT25" i="138" s="1"/>
  <c r="AD35" i="138"/>
  <c r="AV35" i="138" s="1"/>
  <c r="BB35" i="138" s="1"/>
  <c r="P11" i="138"/>
  <c r="AT11" i="138" s="1"/>
  <c r="AR44" i="138"/>
  <c r="AX44" i="138" s="1"/>
  <c r="BD44" i="138" s="1"/>
  <c r="AR40" i="138"/>
  <c r="AX40" i="138" s="1"/>
  <c r="BD40" i="138" s="1"/>
  <c r="AD31" i="138"/>
  <c r="AV31" i="138" s="1"/>
  <c r="BB31" i="138" s="1"/>
  <c r="AK23" i="138"/>
  <c r="AW23" i="138" s="1"/>
  <c r="BC23" i="138" s="1"/>
  <c r="P29" i="138"/>
  <c r="AT29" i="138" s="1"/>
  <c r="W26" i="138"/>
  <c r="AU26" i="138" s="1"/>
  <c r="BA26" i="138" s="1"/>
  <c r="AK14" i="138"/>
  <c r="AW14" i="138" s="1"/>
  <c r="BC14" i="138" s="1"/>
  <c r="AD17" i="138"/>
  <c r="AV17" i="138" s="1"/>
  <c r="BB17" i="138" s="1"/>
  <c r="AD28" i="138"/>
  <c r="AV28" i="138" s="1"/>
  <c r="BB28" i="138" s="1"/>
  <c r="P22" i="138"/>
  <c r="AT22" i="138" s="1"/>
  <c r="AK33" i="138"/>
  <c r="AW33" i="138" s="1"/>
  <c r="BC33" i="138" s="1"/>
  <c r="W45" i="138"/>
  <c r="AU45" i="138" s="1"/>
  <c r="BA45" i="138" s="1"/>
  <c r="AD24" i="138"/>
  <c r="AV24" i="138" s="1"/>
  <c r="BB24" i="138" s="1"/>
  <c r="P42" i="138"/>
  <c r="AT42" i="138" s="1"/>
  <c r="W16" i="138"/>
  <c r="AU16" i="138" s="1"/>
  <c r="BA16" i="138" s="1"/>
  <c r="BE10" i="138" l="1"/>
  <c r="AY10" i="138"/>
  <c r="P49" i="138"/>
  <c r="AT9" i="138"/>
  <c r="AZ31" i="138"/>
  <c r="BE31" i="138" s="1"/>
  <c r="AY31" i="138"/>
  <c r="AZ17" i="138"/>
  <c r="BE17" i="138" s="1"/>
  <c r="AY17" i="138"/>
  <c r="AZ30" i="138"/>
  <c r="BE30" i="138" s="1"/>
  <c r="AY30" i="138"/>
  <c r="AZ40" i="138"/>
  <c r="BE40" i="138" s="1"/>
  <c r="AY40" i="138"/>
  <c r="AZ34" i="138"/>
  <c r="BE34" i="138" s="1"/>
  <c r="AY34" i="138"/>
  <c r="AZ38" i="138"/>
  <c r="BE38" i="138" s="1"/>
  <c r="AY38" i="138"/>
  <c r="AZ25" i="138"/>
  <c r="BE25" i="138" s="1"/>
  <c r="AY25" i="138"/>
  <c r="AZ44" i="138"/>
  <c r="BE44" i="138" s="1"/>
  <c r="AY44" i="138"/>
  <c r="AZ20" i="138"/>
  <c r="BE20" i="138" s="1"/>
  <c r="AY20" i="138"/>
  <c r="AZ27" i="138"/>
  <c r="BE27" i="138" s="1"/>
  <c r="AY27" i="138"/>
  <c r="AK49" i="138"/>
  <c r="AW9" i="138"/>
  <c r="AZ22" i="138"/>
  <c r="BE22" i="138" s="1"/>
  <c r="AY22" i="138"/>
  <c r="AR49" i="138"/>
  <c r="AX9" i="138"/>
  <c r="AZ12" i="138"/>
  <c r="BE12" i="138" s="1"/>
  <c r="AY12" i="138"/>
  <c r="AZ48" i="138"/>
  <c r="BE48" i="138" s="1"/>
  <c r="AY48" i="138"/>
  <c r="AZ41" i="138"/>
  <c r="BE41" i="138" s="1"/>
  <c r="AY41" i="138"/>
  <c r="AZ32" i="138"/>
  <c r="BE32" i="138" s="1"/>
  <c r="AY32" i="138"/>
  <c r="AZ29" i="138"/>
  <c r="BE29" i="138" s="1"/>
  <c r="AY29" i="138"/>
  <c r="AZ28" i="138"/>
  <c r="BE28" i="138" s="1"/>
  <c r="AY28" i="138"/>
  <c r="AZ47" i="138"/>
  <c r="BE47" i="138" s="1"/>
  <c r="AY47" i="138"/>
  <c r="AZ43" i="138"/>
  <c r="BE43" i="138" s="1"/>
  <c r="AY43" i="138"/>
  <c r="AZ36" i="138"/>
  <c r="BE36" i="138" s="1"/>
  <c r="AY36" i="138"/>
  <c r="AZ35" i="138"/>
  <c r="BE35" i="138" s="1"/>
  <c r="AY35" i="138"/>
  <c r="AZ39" i="138"/>
  <c r="BE39" i="138" s="1"/>
  <c r="AY39" i="138"/>
  <c r="AZ23" i="138"/>
  <c r="BE23" i="138" s="1"/>
  <c r="AY23" i="138"/>
  <c r="AZ16" i="138"/>
  <c r="BE16" i="138" s="1"/>
  <c r="AY16" i="138"/>
  <c r="AZ26" i="138"/>
  <c r="BE26" i="138" s="1"/>
  <c r="AY26" i="138"/>
  <c r="AZ19" i="138"/>
  <c r="BE19" i="138" s="1"/>
  <c r="AY19" i="138"/>
  <c r="AZ37" i="138"/>
  <c r="BE37" i="138" s="1"/>
  <c r="AY37" i="138"/>
  <c r="AZ45" i="138"/>
  <c r="BE45" i="138" s="1"/>
  <c r="AY45" i="138"/>
  <c r="AD49" i="138"/>
  <c r="AV9" i="138"/>
  <c r="AZ33" i="138"/>
  <c r="BE33" i="138" s="1"/>
  <c r="AY33" i="138"/>
  <c r="AZ21" i="138"/>
  <c r="BE21" i="138" s="1"/>
  <c r="AY21" i="138"/>
  <c r="W49" i="138"/>
  <c r="AU9" i="138"/>
  <c r="AZ42" i="138"/>
  <c r="BE42" i="138" s="1"/>
  <c r="AY42" i="138"/>
  <c r="BI10" i="138"/>
  <c r="BJ10" i="138" s="1"/>
  <c r="BH10" i="138"/>
  <c r="AZ11" i="138"/>
  <c r="BE11" i="138" s="1"/>
  <c r="AY11" i="138"/>
  <c r="AZ18" i="138"/>
  <c r="BE18" i="138" s="1"/>
  <c r="AY18" i="138"/>
  <c r="AY24" i="138"/>
  <c r="AZ46" i="138"/>
  <c r="BE46" i="138" s="1"/>
  <c r="AY46" i="138"/>
  <c r="AZ13" i="138"/>
  <c r="BE13" i="138" s="1"/>
  <c r="AY13" i="138"/>
  <c r="AZ14" i="138"/>
  <c r="BE14" i="138" s="1"/>
  <c r="AY14" i="138"/>
  <c r="BE24" i="138"/>
  <c r="BL10" i="138" l="1"/>
  <c r="BI29" i="138"/>
  <c r="BJ29" i="138" s="1"/>
  <c r="BH29" i="138"/>
  <c r="BI13" i="138"/>
  <c r="BJ13" i="138" s="1"/>
  <c r="BH13" i="138"/>
  <c r="BI42" i="138"/>
  <c r="BJ42" i="138" s="1"/>
  <c r="BH42" i="138"/>
  <c r="BI37" i="138"/>
  <c r="BJ37" i="138" s="1"/>
  <c r="BH37" i="138"/>
  <c r="BI35" i="138"/>
  <c r="BJ35" i="138" s="1"/>
  <c r="BH35" i="138"/>
  <c r="BI32" i="138"/>
  <c r="BJ32" i="138" s="1"/>
  <c r="BL32" i="138" s="1"/>
  <c r="BH34" i="138"/>
  <c r="BI34" i="138"/>
  <c r="BJ34" i="138" s="1"/>
  <c r="BL34" i="138" s="1"/>
  <c r="BI38" i="138"/>
  <c r="BJ38" i="138" s="1"/>
  <c r="BH38" i="138"/>
  <c r="AU49" i="138"/>
  <c r="BA49" i="138" s="1"/>
  <c r="BA9" i="138"/>
  <c r="BI46" i="138"/>
  <c r="BJ46" i="138" s="1"/>
  <c r="BH46" i="138"/>
  <c r="BI19" i="138"/>
  <c r="BJ19" i="138" s="1"/>
  <c r="BH19" i="138"/>
  <c r="BH36" i="138"/>
  <c r="BI36" i="138"/>
  <c r="BJ36" i="138" s="1"/>
  <c r="BL36" i="138" s="1"/>
  <c r="BI41" i="138"/>
  <c r="BJ41" i="138" s="1"/>
  <c r="BH41" i="138"/>
  <c r="BI27" i="138"/>
  <c r="BH27" i="138"/>
  <c r="BJ27" i="138"/>
  <c r="BL27" i="138" s="1"/>
  <c r="BH40" i="138"/>
  <c r="BI40" i="138"/>
  <c r="BJ40" i="138" s="1"/>
  <c r="BL40" i="138" s="1"/>
  <c r="BI39" i="138"/>
  <c r="BJ39" i="138" s="1"/>
  <c r="BH39" i="138"/>
  <c r="BH30" i="138"/>
  <c r="BI30" i="138"/>
  <c r="BJ30" i="138" s="1"/>
  <c r="BL30" i="138" s="1"/>
  <c r="BI16" i="138"/>
  <c r="BJ16" i="138" s="1"/>
  <c r="BH16" i="138"/>
  <c r="BI12" i="138"/>
  <c r="BJ12" i="138" s="1"/>
  <c r="BH12" i="138"/>
  <c r="BI17" i="138"/>
  <c r="BJ17" i="138" s="1"/>
  <c r="BH17" i="138"/>
  <c r="BI21" i="138"/>
  <c r="BJ21" i="138" s="1"/>
  <c r="BH21" i="138"/>
  <c r="BH20" i="138"/>
  <c r="BI20" i="138"/>
  <c r="BJ20" i="138" s="1"/>
  <c r="BI18" i="138"/>
  <c r="BJ18" i="138" s="1"/>
  <c r="BH18" i="138"/>
  <c r="BI33" i="138"/>
  <c r="BH33" i="138"/>
  <c r="BJ33" i="138"/>
  <c r="BL33" i="138" s="1"/>
  <c r="BI47" i="138"/>
  <c r="BJ47" i="138" s="1"/>
  <c r="BH47" i="138"/>
  <c r="BI44" i="138"/>
  <c r="BH44" i="138"/>
  <c r="BJ44" i="138"/>
  <c r="BL44" i="138" s="1"/>
  <c r="BI11" i="138"/>
  <c r="BJ11" i="138" s="1"/>
  <c r="BH11" i="138"/>
  <c r="AV49" i="138"/>
  <c r="BB49" i="138" s="1"/>
  <c r="BB9" i="138"/>
  <c r="AX49" i="138"/>
  <c r="BD49" i="138" s="1"/>
  <c r="BD9" i="138"/>
  <c r="BH22" i="138"/>
  <c r="BI22" i="138"/>
  <c r="BJ22" i="138" s="1"/>
  <c r="BL22" i="138" s="1"/>
  <c r="BH26" i="138"/>
  <c r="BI26" i="138"/>
  <c r="BJ26" i="138" s="1"/>
  <c r="BL26" i="138" s="1"/>
  <c r="BH43" i="138"/>
  <c r="BI43" i="138"/>
  <c r="BJ43" i="138" s="1"/>
  <c r="BH24" i="138"/>
  <c r="BI24" i="138"/>
  <c r="BJ24" i="138"/>
  <c r="BL24" i="138" s="1"/>
  <c r="BH23" i="138"/>
  <c r="BI23" i="138"/>
  <c r="BJ23" i="138" s="1"/>
  <c r="BI28" i="138"/>
  <c r="BJ28" i="138" s="1"/>
  <c r="BH28" i="138"/>
  <c r="BI25" i="138"/>
  <c r="BJ25" i="138" s="1"/>
  <c r="BH25" i="138"/>
  <c r="BH31" i="138"/>
  <c r="BI31" i="138"/>
  <c r="BJ31" i="138"/>
  <c r="BL31" i="138" s="1"/>
  <c r="BH14" i="138"/>
  <c r="BI14" i="138"/>
  <c r="BJ14" i="138" s="1"/>
  <c r="BL14" i="138" s="1"/>
  <c r="BI45" i="138"/>
  <c r="BJ45" i="138" s="1"/>
  <c r="BH45" i="138"/>
  <c r="AW49" i="138"/>
  <c r="BC49" i="138" s="1"/>
  <c r="BC9" i="138"/>
  <c r="BH48" i="138"/>
  <c r="BI48" i="138"/>
  <c r="BJ48" i="138" s="1"/>
  <c r="BL48" i="138" s="1"/>
  <c r="AT49" i="138"/>
  <c r="AZ49" i="138" s="1"/>
  <c r="AZ9" i="138"/>
  <c r="AY9" i="138"/>
  <c r="BL16" i="138" l="1"/>
  <c r="BL19" i="138"/>
  <c r="BL35" i="138"/>
  <c r="BL43" i="138"/>
  <c r="BL20" i="138"/>
  <c r="BL21" i="138"/>
  <c r="BE49" i="138"/>
  <c r="BL47" i="138"/>
  <c r="BL29" i="138"/>
  <c r="BL23" i="138"/>
  <c r="BL25" i="138"/>
  <c r="BL46" i="138"/>
  <c r="BL45" i="138"/>
  <c r="BL17" i="138"/>
  <c r="BL38" i="138"/>
  <c r="BL28" i="138"/>
  <c r="BL39" i="138"/>
  <c r="BL37" i="138"/>
  <c r="BL42" i="138"/>
  <c r="BL12" i="138"/>
  <c r="BL18" i="138"/>
  <c r="BL11" i="138"/>
  <c r="BL41" i="138"/>
  <c r="BL13" i="138"/>
  <c r="BE9" i="138"/>
  <c r="BH9" i="138" l="1"/>
  <c r="BI9" i="138"/>
  <c r="BI49" i="138" s="1"/>
  <c r="BJ9" i="138" l="1"/>
  <c r="BJ49" i="138" l="1"/>
  <c r="BM4" i="138" s="1"/>
  <c r="BL9" i="138"/>
  <c r="BL49" i="138" l="1"/>
  <c r="BM9" i="138"/>
  <c r="BN9" i="138" l="1"/>
  <c r="BM10" i="138"/>
  <c r="BN10" i="138" s="1"/>
  <c r="BO10" i="138" s="1"/>
  <c r="BM12" i="138"/>
  <c r="BN12" i="138" s="1"/>
  <c r="BO12" i="138" s="1"/>
  <c r="BM28" i="138"/>
  <c r="BN28" i="138" s="1"/>
  <c r="BO28" i="138" s="1"/>
  <c r="BM31" i="138"/>
  <c r="BN31" i="138" s="1"/>
  <c r="BO31" i="138" s="1"/>
  <c r="BM29" i="138"/>
  <c r="BN29" i="138" s="1"/>
  <c r="BO29" i="138" s="1"/>
  <c r="BM39" i="138"/>
  <c r="BN39" i="138" s="1"/>
  <c r="BO39" i="138" s="1"/>
  <c r="BM37" i="138"/>
  <c r="BN37" i="138" s="1"/>
  <c r="BO37" i="138" s="1"/>
  <c r="BM26" i="138"/>
  <c r="BN26" i="138" s="1"/>
  <c r="BO26" i="138" s="1"/>
  <c r="BM32" i="138"/>
  <c r="BN32" i="138" s="1"/>
  <c r="BO32" i="138" s="1"/>
  <c r="BM33" i="138"/>
  <c r="BN33" i="138" s="1"/>
  <c r="BO33" i="138" s="1"/>
  <c r="BM22" i="138"/>
  <c r="BN22" i="138" s="1"/>
  <c r="BO22" i="138" s="1"/>
  <c r="BM40" i="138"/>
  <c r="BN40" i="138" s="1"/>
  <c r="BO40" i="138" s="1"/>
  <c r="BM45" i="138"/>
  <c r="BN45" i="138" s="1"/>
  <c r="BO45" i="138" s="1"/>
  <c r="BM20" i="138"/>
  <c r="BN20" i="138" s="1"/>
  <c r="BO20" i="138" s="1"/>
  <c r="BM19" i="138"/>
  <c r="BN19" i="138" s="1"/>
  <c r="BO19" i="138" s="1"/>
  <c r="BM36" i="138"/>
  <c r="BN36" i="138" s="1"/>
  <c r="BO36" i="138" s="1"/>
  <c r="BM44" i="138"/>
  <c r="BN44" i="138" s="1"/>
  <c r="BO44" i="138" s="1"/>
  <c r="BM48" i="138"/>
  <c r="BN48" i="138" s="1"/>
  <c r="BO48" i="138" s="1"/>
  <c r="BM42" i="138"/>
  <c r="BN42" i="138" s="1"/>
  <c r="BO42" i="138" s="1"/>
  <c r="BM23" i="138"/>
  <c r="BN23" i="138" s="1"/>
  <c r="BO23" i="138" s="1"/>
  <c r="BM38" i="138"/>
  <c r="BN38" i="138" s="1"/>
  <c r="BO38" i="138" s="1"/>
  <c r="BM14" i="138"/>
  <c r="BN14" i="138" s="1"/>
  <c r="BO14" i="138" s="1"/>
  <c r="BM27" i="138"/>
  <c r="BN27" i="138" s="1"/>
  <c r="BO27" i="138" s="1"/>
  <c r="BM16" i="138"/>
  <c r="BN16" i="138" s="1"/>
  <c r="BO16" i="138" s="1"/>
  <c r="BM30" i="138"/>
  <c r="BN30" i="138" s="1"/>
  <c r="BO30" i="138" s="1"/>
  <c r="BM35" i="138"/>
  <c r="BN35" i="138" s="1"/>
  <c r="BO35" i="138" s="1"/>
  <c r="BM18" i="138"/>
  <c r="BN18" i="138" s="1"/>
  <c r="BO18" i="138" s="1"/>
  <c r="BM17" i="138"/>
  <c r="BN17" i="138" s="1"/>
  <c r="BO17" i="138" s="1"/>
  <c r="BM21" i="138"/>
  <c r="BN21" i="138" s="1"/>
  <c r="BO21" i="138" s="1"/>
  <c r="BM34" i="138"/>
  <c r="BN34" i="138" s="1"/>
  <c r="BO34" i="138" s="1"/>
  <c r="BM11" i="138"/>
  <c r="BN11" i="138" s="1"/>
  <c r="BO11" i="138" s="1"/>
  <c r="BM47" i="138"/>
  <c r="BN47" i="138" s="1"/>
  <c r="BO47" i="138" s="1"/>
  <c r="BM25" i="138"/>
  <c r="BN25" i="138" s="1"/>
  <c r="BO25" i="138" s="1"/>
  <c r="BM43" i="138"/>
  <c r="BN43" i="138" s="1"/>
  <c r="BO43" i="138" s="1"/>
  <c r="BM24" i="138"/>
  <c r="BN24" i="138" s="1"/>
  <c r="BO24" i="138" s="1"/>
  <c r="BM46" i="138"/>
  <c r="BN46" i="138" s="1"/>
  <c r="BO46" i="138" s="1"/>
  <c r="BM41" i="138"/>
  <c r="BN41" i="138" s="1"/>
  <c r="BO41" i="138" s="1"/>
  <c r="BM13" i="138"/>
  <c r="BN13" i="138" s="1"/>
  <c r="BO13" i="138" s="1"/>
  <c r="BT33" i="138" l="1"/>
  <c r="BQ33" i="138"/>
  <c r="BU33" i="138"/>
  <c r="BV33" i="138" s="1"/>
  <c r="BU25" i="138"/>
  <c r="BV25" i="138" s="1"/>
  <c r="BQ25" i="138"/>
  <c r="BT25" i="138"/>
  <c r="BU38" i="138"/>
  <c r="BV38" i="138" s="1"/>
  <c r="BX38" i="138" s="1"/>
  <c r="BT38" i="138"/>
  <c r="BQ38" i="138"/>
  <c r="BQ32" i="138"/>
  <c r="BU32" i="138"/>
  <c r="BV32" i="138" s="1"/>
  <c r="BX32" i="138" s="1"/>
  <c r="BQ26" i="138"/>
  <c r="BU26" i="138"/>
  <c r="BV26" i="138" s="1"/>
  <c r="BT26" i="138"/>
  <c r="BQ43" i="138"/>
  <c r="BT43" i="138"/>
  <c r="BU43" i="138"/>
  <c r="BV43" i="138" s="1"/>
  <c r="BX43" i="138" s="1"/>
  <c r="BQ11" i="138"/>
  <c r="BU11" i="138"/>
  <c r="BV11" i="138" s="1"/>
  <c r="BX11" i="138" s="1"/>
  <c r="BT11" i="138"/>
  <c r="BU42" i="138"/>
  <c r="BV42" i="138" s="1"/>
  <c r="BT42" i="138"/>
  <c r="BQ42" i="138"/>
  <c r="BT37" i="138"/>
  <c r="BU37" i="138"/>
  <c r="BV37" i="138" s="1"/>
  <c r="BQ37" i="138"/>
  <c r="BU39" i="138"/>
  <c r="BV39" i="138" s="1"/>
  <c r="BT39" i="138"/>
  <c r="BQ39" i="138"/>
  <c r="BQ44" i="138"/>
  <c r="BU44" i="138"/>
  <c r="BV44" i="138" s="1"/>
  <c r="BT44" i="138"/>
  <c r="BU29" i="138"/>
  <c r="BV29" i="138" s="1"/>
  <c r="BT29" i="138"/>
  <c r="BQ29" i="138"/>
  <c r="BU47" i="138"/>
  <c r="BV47" i="138" s="1"/>
  <c r="BT47" i="138"/>
  <c r="BQ47" i="138"/>
  <c r="BQ17" i="138"/>
  <c r="BU17" i="138"/>
  <c r="BV17" i="138" s="1"/>
  <c r="BT17" i="138"/>
  <c r="BU36" i="138"/>
  <c r="BV36" i="138" s="1"/>
  <c r="BQ36" i="138"/>
  <c r="BT36" i="138"/>
  <c r="BU31" i="138"/>
  <c r="BV31" i="138" s="1"/>
  <c r="BX31" i="138" s="1"/>
  <c r="BT31" i="138"/>
  <c r="BQ31" i="138"/>
  <c r="BU34" i="138"/>
  <c r="BT34" i="138"/>
  <c r="BV34" i="138"/>
  <c r="BX34" i="138" s="1"/>
  <c r="BQ34" i="138"/>
  <c r="BU18" i="138"/>
  <c r="BV18" i="138" s="1"/>
  <c r="BT18" i="138"/>
  <c r="BQ18" i="138"/>
  <c r="BU19" i="138"/>
  <c r="BV19" i="138" s="1"/>
  <c r="BT19" i="138"/>
  <c r="BQ19" i="138"/>
  <c r="BU28" i="138"/>
  <c r="BT28" i="138"/>
  <c r="BQ28" i="138"/>
  <c r="BV28" i="138"/>
  <c r="BX28" i="138" s="1"/>
  <c r="BT13" i="138"/>
  <c r="BQ13" i="138"/>
  <c r="BU13" i="138"/>
  <c r="BV13" i="138" s="1"/>
  <c r="BX13" i="138" s="1"/>
  <c r="BU35" i="138"/>
  <c r="BV35" i="138" s="1"/>
  <c r="BT35" i="138"/>
  <c r="BQ35" i="138"/>
  <c r="BQ20" i="138"/>
  <c r="BU20" i="138"/>
  <c r="BV20" i="138" s="1"/>
  <c r="BT20" i="138"/>
  <c r="BQ12" i="138"/>
  <c r="BU12" i="138"/>
  <c r="BV12" i="138" s="1"/>
  <c r="BX12" i="138" s="1"/>
  <c r="BT12" i="138"/>
  <c r="BT23" i="138"/>
  <c r="BQ23" i="138"/>
  <c r="BU23" i="138"/>
  <c r="BV23" i="138" s="1"/>
  <c r="BX23" i="138" s="1"/>
  <c r="BQ41" i="138"/>
  <c r="BU41" i="138"/>
  <c r="BV41" i="138" s="1"/>
  <c r="BT41" i="138"/>
  <c r="BU30" i="138"/>
  <c r="BV30" i="138" s="1"/>
  <c r="BQ30" i="138"/>
  <c r="BT30" i="138"/>
  <c r="BT45" i="138"/>
  <c r="BQ45" i="138"/>
  <c r="BU45" i="138"/>
  <c r="BV45" i="138" s="1"/>
  <c r="BU10" i="138"/>
  <c r="BV10" i="138" s="1"/>
  <c r="BT10" i="138"/>
  <c r="BQ10" i="138"/>
  <c r="BU48" i="138"/>
  <c r="BV48" i="138" s="1"/>
  <c r="BQ48" i="138"/>
  <c r="BT48" i="138"/>
  <c r="BU46" i="138"/>
  <c r="BV46" i="138" s="1"/>
  <c r="BT46" i="138"/>
  <c r="BQ46" i="138"/>
  <c r="BU16" i="138"/>
  <c r="BV16" i="138" s="1"/>
  <c r="BT16" i="138"/>
  <c r="BQ16" i="138"/>
  <c r="BU40" i="138"/>
  <c r="BV40" i="138" s="1"/>
  <c r="BT40" i="138"/>
  <c r="BQ40" i="138"/>
  <c r="BN49" i="138"/>
  <c r="BO9" i="138"/>
  <c r="BU14" i="138"/>
  <c r="BV14" i="138" s="1"/>
  <c r="BT14" i="138"/>
  <c r="BQ14" i="138"/>
  <c r="BQ21" i="138"/>
  <c r="BT21" i="138"/>
  <c r="BU21" i="138"/>
  <c r="BV21" i="138" s="1"/>
  <c r="BX21" i="138" s="1"/>
  <c r="BU24" i="138"/>
  <c r="BV24" i="138" s="1"/>
  <c r="BX24" i="138" s="1"/>
  <c r="BT24" i="138"/>
  <c r="BQ24" i="138"/>
  <c r="BT27" i="138"/>
  <c r="BQ27" i="138"/>
  <c r="BU27" i="138"/>
  <c r="BV27" i="138" s="1"/>
  <c r="BX27" i="138" s="1"/>
  <c r="BQ22" i="138"/>
  <c r="BU22" i="138"/>
  <c r="BV22" i="138" s="1"/>
  <c r="BT22" i="138"/>
  <c r="BM49" i="138"/>
  <c r="BX29" i="138" l="1"/>
  <c r="BX14" i="138"/>
  <c r="BX19" i="138"/>
  <c r="BX35" i="138"/>
  <c r="BX16" i="138"/>
  <c r="BX47" i="138"/>
  <c r="BX26" i="138"/>
  <c r="BX39" i="138"/>
  <c r="BX33" i="138"/>
  <c r="BX46" i="138"/>
  <c r="BX17" i="138"/>
  <c r="BX20" i="138"/>
  <c r="BX10" i="138"/>
  <c r="BX42" i="138"/>
  <c r="BX41" i="138"/>
  <c r="BX45" i="138"/>
  <c r="BX37" i="138"/>
  <c r="BX25" i="138"/>
  <c r="BX30" i="138"/>
  <c r="BX18" i="138"/>
  <c r="BX36" i="138"/>
  <c r="BX44" i="138"/>
  <c r="BX40" i="138"/>
  <c r="BX48" i="138"/>
  <c r="BX22" i="138"/>
  <c r="BO49" i="138"/>
  <c r="BU9" i="138"/>
  <c r="BU49" i="138" s="1"/>
  <c r="BT9" i="138"/>
  <c r="BQ9" i="138"/>
  <c r="BQ49" i="138" s="1"/>
  <c r="BV49" i="138" l="1"/>
  <c r="BY4" i="138" s="1"/>
  <c r="BP6" i="138"/>
  <c r="BV9" i="138"/>
  <c r="BX9" i="138" s="1"/>
  <c r="BX49" i="138" l="1"/>
  <c r="BY9" i="138" s="1"/>
  <c r="BZ9" i="138" s="1"/>
  <c r="CA9" i="138" s="1"/>
  <c r="CC9" i="138" l="1"/>
  <c r="AM77" i="135"/>
  <c r="BY49" i="138"/>
  <c r="BZ49" i="138" s="1"/>
  <c r="CA49" i="138" s="1"/>
  <c r="CC49" i="138" s="1"/>
  <c r="BY15" i="138"/>
  <c r="BZ15" i="138" s="1"/>
  <c r="BY42" i="138"/>
  <c r="BZ42" i="138" s="1"/>
  <c r="CA42" i="138" s="1"/>
  <c r="BY26" i="138"/>
  <c r="BZ26" i="138" s="1"/>
  <c r="CA26" i="138" s="1"/>
  <c r="BY28" i="138"/>
  <c r="BZ28" i="138" s="1"/>
  <c r="CA28" i="138" s="1"/>
  <c r="BY45" i="138"/>
  <c r="BZ45" i="138" s="1"/>
  <c r="CA45" i="138" s="1"/>
  <c r="CC45" i="138" s="1"/>
  <c r="BY17" i="138"/>
  <c r="BZ17" i="138" s="1"/>
  <c r="CA17" i="138" s="1"/>
  <c r="BY33" i="138"/>
  <c r="BZ33" i="138" s="1"/>
  <c r="CA33" i="138" s="1"/>
  <c r="BY19" i="138"/>
  <c r="BZ19" i="138" s="1"/>
  <c r="CA19" i="138" s="1"/>
  <c r="BY39" i="138"/>
  <c r="BZ39" i="138" s="1"/>
  <c r="CA39" i="138" s="1"/>
  <c r="BY38" i="138"/>
  <c r="BZ38" i="138" s="1"/>
  <c r="CA38" i="138" s="1"/>
  <c r="BY31" i="138"/>
  <c r="BZ31" i="138" s="1"/>
  <c r="CA31" i="138" s="1"/>
  <c r="BY46" i="138"/>
  <c r="BZ46" i="138" s="1"/>
  <c r="CA46" i="138" s="1"/>
  <c r="CC46" i="138" s="1"/>
  <c r="BY16" i="138"/>
  <c r="BZ16" i="138" s="1"/>
  <c r="CA16" i="138" s="1"/>
  <c r="CC16" i="138" s="1"/>
  <c r="BY34" i="138"/>
  <c r="BZ34" i="138" s="1"/>
  <c r="CA34" i="138" s="1"/>
  <c r="BY25" i="138"/>
  <c r="BZ25" i="138" s="1"/>
  <c r="CA25" i="138" s="1"/>
  <c r="BY20" i="138"/>
  <c r="BZ20" i="138" s="1"/>
  <c r="CA20" i="138" s="1"/>
  <c r="BY27" i="138"/>
  <c r="BZ27" i="138" s="1"/>
  <c r="CA27" i="138" s="1"/>
  <c r="CC27" i="138" s="1"/>
  <c r="BY11" i="138"/>
  <c r="BZ11" i="138" s="1"/>
  <c r="CA11" i="138" s="1"/>
  <c r="BY14" i="138"/>
  <c r="BZ14" i="138" s="1"/>
  <c r="CA14" i="138" s="1"/>
  <c r="BY29" i="138"/>
  <c r="BZ29" i="138" s="1"/>
  <c r="CA29" i="138" s="1"/>
  <c r="BY41" i="138"/>
  <c r="BZ41" i="138" s="1"/>
  <c r="CA41" i="138" s="1"/>
  <c r="BY47" i="138"/>
  <c r="BZ47" i="138" s="1"/>
  <c r="CA47" i="138" s="1"/>
  <c r="CC47" i="138" s="1"/>
  <c r="BY43" i="138"/>
  <c r="BZ43" i="138" s="1"/>
  <c r="CA43" i="138" s="1"/>
  <c r="BY35" i="138"/>
  <c r="BZ35" i="138" s="1"/>
  <c r="CA35" i="138" s="1"/>
  <c r="BY13" i="138"/>
  <c r="BZ13" i="138" s="1"/>
  <c r="CA13" i="138" s="1"/>
  <c r="BY21" i="138"/>
  <c r="BZ21" i="138" s="1"/>
  <c r="CA21" i="138" s="1"/>
  <c r="BY23" i="138"/>
  <c r="BZ23" i="138" s="1"/>
  <c r="CA23" i="138" s="1"/>
  <c r="BY10" i="138"/>
  <c r="BZ10" i="138" s="1"/>
  <c r="CA10" i="138" s="1"/>
  <c r="BY12" i="138"/>
  <c r="BZ12" i="138" s="1"/>
  <c r="CA12" i="138" s="1"/>
  <c r="BY37" i="138"/>
  <c r="BZ37" i="138" s="1"/>
  <c r="CA37" i="138" s="1"/>
  <c r="BY24" i="138"/>
  <c r="BZ24" i="138" s="1"/>
  <c r="CA24" i="138" s="1"/>
  <c r="BY32" i="138"/>
  <c r="BZ32" i="138" s="1"/>
  <c r="CA32" i="138" s="1"/>
  <c r="CC32" i="138" s="1"/>
  <c r="BY48" i="138"/>
  <c r="BZ48" i="138" s="1"/>
  <c r="CA48" i="138" s="1"/>
  <c r="CC48" i="138" s="1"/>
  <c r="BY30" i="138"/>
  <c r="BZ30" i="138" s="1"/>
  <c r="CA30" i="138" s="1"/>
  <c r="BY40" i="138"/>
  <c r="BZ40" i="138" s="1"/>
  <c r="CA40" i="138" s="1"/>
  <c r="BY18" i="138"/>
  <c r="BZ18" i="138" s="1"/>
  <c r="CA18" i="138" s="1"/>
  <c r="BY44" i="138"/>
  <c r="BZ44" i="138" s="1"/>
  <c r="CA44" i="138" s="1"/>
  <c r="CC44" i="138" s="1"/>
  <c r="BY36" i="138"/>
  <c r="BZ36" i="138" s="1"/>
  <c r="CA36" i="138" s="1"/>
  <c r="CC36" i="138" s="1"/>
  <c r="BY22" i="138"/>
  <c r="BZ22" i="138" s="1"/>
  <c r="CA22" i="138" s="1"/>
  <c r="CC23" i="138" l="1"/>
  <c r="AM75" i="135"/>
  <c r="CC11" i="138"/>
  <c r="AM88" i="135"/>
  <c r="CC18" i="138"/>
  <c r="AM70" i="135"/>
  <c r="CC17" i="138"/>
  <c r="AM84" i="135"/>
  <c r="CC20" i="138"/>
  <c r="AM81" i="135"/>
  <c r="CC24" i="138"/>
  <c r="AM73" i="135"/>
  <c r="CC39" i="138"/>
  <c r="AM76" i="135"/>
  <c r="CC37" i="138"/>
  <c r="AM85" i="135"/>
  <c r="CC12" i="138"/>
  <c r="AM78" i="135"/>
  <c r="CC21" i="138"/>
  <c r="AM69" i="135"/>
  <c r="CC13" i="138"/>
  <c r="AM79" i="135"/>
  <c r="CC26" i="138"/>
  <c r="AM74" i="135"/>
  <c r="CC43" i="138"/>
  <c r="AM86" i="135"/>
  <c r="CC31" i="138"/>
  <c r="AQ57" i="129"/>
  <c r="CC40" i="138"/>
  <c r="AQ55" i="134"/>
  <c r="CC29" i="138"/>
  <c r="AQ54" i="129"/>
  <c r="CC30" i="138"/>
  <c r="AQ56" i="129"/>
  <c r="CC19" i="138"/>
  <c r="AQ60" i="129"/>
  <c r="CC14" i="138"/>
  <c r="AQ51" i="134"/>
  <c r="CC22" i="138"/>
  <c r="AQ53" i="134"/>
  <c r="CC38" i="138"/>
  <c r="AQ62" i="129"/>
  <c r="CC41" i="138"/>
  <c r="AQ52" i="134"/>
  <c r="CC33" i="138"/>
  <c r="AQ63" i="129"/>
  <c r="CC10" i="138"/>
  <c r="AQ49" i="134"/>
  <c r="CC28" i="138"/>
  <c r="AQ55" i="129"/>
  <c r="CC25" i="138"/>
  <c r="AQ54" i="134"/>
  <c r="CC34" i="138"/>
  <c r="AQ61" i="129"/>
  <c r="CC42" i="138"/>
  <c r="AQ47" i="134"/>
  <c r="CC35" i="138"/>
  <c r="AQ59" i="129"/>
  <c r="CL50" i="137"/>
  <c r="BT49" i="137"/>
  <c r="CF48" i="137"/>
  <c r="BT47" i="137"/>
  <c r="CF46" i="137"/>
  <c r="CF45" i="137"/>
  <c r="CF44" i="137"/>
  <c r="B58" i="135"/>
  <c r="B30" i="134"/>
  <c r="BT42" i="137"/>
  <c r="B35" i="134"/>
  <c r="BT41" i="137"/>
  <c r="B38" i="134"/>
  <c r="CF40" i="137"/>
  <c r="B48" i="135"/>
  <c r="CF39" i="137"/>
  <c r="B44" i="129"/>
  <c r="BT38" i="137"/>
  <c r="B57" i="135"/>
  <c r="CF36" i="137"/>
  <c r="BT36" i="137"/>
  <c r="B41" i="129"/>
  <c r="BT35" i="137"/>
  <c r="B43" i="129"/>
  <c r="BT34" i="137"/>
  <c r="B45" i="129"/>
  <c r="BT33" i="137"/>
  <c r="B39" i="129"/>
  <c r="B38" i="129"/>
  <c r="B36" i="129"/>
  <c r="CF30" i="137"/>
  <c r="B37" i="129"/>
  <c r="BT29" i="137"/>
  <c r="B40" i="129"/>
  <c r="BT28" i="137"/>
  <c r="B46" i="135"/>
  <c r="BT27" i="137"/>
  <c r="B37" i="134"/>
  <c r="CF26" i="137"/>
  <c r="B45" i="135"/>
  <c r="BT25" i="137"/>
  <c r="B47" i="135"/>
  <c r="BT24" i="137"/>
  <c r="B36" i="134"/>
  <c r="CF23" i="137"/>
  <c r="B41" i="135"/>
  <c r="CF22" i="137"/>
  <c r="B53" i="135"/>
  <c r="B42" i="129"/>
  <c r="CF20" i="137"/>
  <c r="B42" i="135"/>
  <c r="CF19" i="137"/>
  <c r="B56" i="135"/>
  <c r="CF18" i="137"/>
  <c r="BT17" i="137"/>
  <c r="B34" i="134"/>
  <c r="BT16" i="137"/>
  <c r="B51" i="135"/>
  <c r="BT15" i="137"/>
  <c r="B50" i="135"/>
  <c r="CF14" i="137"/>
  <c r="B60" i="135"/>
  <c r="BT13" i="137"/>
  <c r="B32" i="134"/>
  <c r="BT12" i="137"/>
  <c r="B49" i="135"/>
  <c r="G10" i="137"/>
  <c r="F10" i="137"/>
  <c r="E10" i="137"/>
  <c r="D10" i="137"/>
  <c r="AM89" i="135" l="1"/>
  <c r="AC20" i="137"/>
  <c r="AQ56" i="134"/>
  <c r="BT14" i="137"/>
  <c r="AQ20" i="137"/>
  <c r="AJ35" i="137"/>
  <c r="V21" i="137"/>
  <c r="CF33" i="137"/>
  <c r="V25" i="137"/>
  <c r="AQ25" i="137"/>
  <c r="AJ29" i="137"/>
  <c r="AC41" i="137"/>
  <c r="AJ48" i="137"/>
  <c r="O29" i="137"/>
  <c r="AQ46" i="137"/>
  <c r="AC38" i="137"/>
  <c r="AJ17" i="137"/>
  <c r="AQ34" i="137"/>
  <c r="AQ36" i="137"/>
  <c r="B39" i="134"/>
  <c r="AC29" i="137"/>
  <c r="AJ46" i="137"/>
  <c r="O17" i="137"/>
  <c r="O19" i="137"/>
  <c r="O21" i="137"/>
  <c r="AQ29" i="137"/>
  <c r="CF29" i="137"/>
  <c r="AQ19" i="137"/>
  <c r="AC26" i="137"/>
  <c r="CF35" i="137"/>
  <c r="AC19" i="137"/>
  <c r="O13" i="137"/>
  <c r="AC16" i="137"/>
  <c r="V20" i="137"/>
  <c r="AJ16" i="137"/>
  <c r="BT19" i="137"/>
  <c r="CF34" i="137"/>
  <c r="V16" i="137"/>
  <c r="AJ18" i="137"/>
  <c r="O25" i="137"/>
  <c r="CF28" i="137"/>
  <c r="O39" i="137"/>
  <c r="AC42" i="137"/>
  <c r="AQ15" i="137"/>
  <c r="O26" i="137"/>
  <c r="AJ26" i="137"/>
  <c r="V38" i="137"/>
  <c r="V46" i="137"/>
  <c r="AJ47" i="137"/>
  <c r="V22" i="137"/>
  <c r="O34" i="137"/>
  <c r="AJ34" i="137"/>
  <c r="AC36" i="137"/>
  <c r="AC49" i="137"/>
  <c r="AC14" i="137"/>
  <c r="AJ41" i="137"/>
  <c r="BT44" i="137"/>
  <c r="CF16" i="137"/>
  <c r="AC22" i="137"/>
  <c r="BT22" i="137"/>
  <c r="AQ38" i="137"/>
  <c r="V40" i="137"/>
  <c r="V48" i="137"/>
  <c r="V34" i="137"/>
  <c r="AQ39" i="137"/>
  <c r="O15" i="137"/>
  <c r="AJ15" i="137"/>
  <c r="CF17" i="137"/>
  <c r="V18" i="137"/>
  <c r="AC32" i="137"/>
  <c r="CF38" i="137"/>
  <c r="AQ41" i="137"/>
  <c r="AC45" i="137"/>
  <c r="BT46" i="137"/>
  <c r="AQ48" i="137"/>
  <c r="AC47" i="137"/>
  <c r="B46" i="129"/>
  <c r="AM51" i="137"/>
  <c r="O18" i="137"/>
  <c r="CF12" i="137"/>
  <c r="V13" i="137"/>
  <c r="AJ22" i="137"/>
  <c r="CF24" i="137"/>
  <c r="AJ36" i="137"/>
  <c r="AJ40" i="137"/>
  <c r="AC46" i="137"/>
  <c r="O48" i="137"/>
  <c r="AC17" i="137"/>
  <c r="AQ18" i="137"/>
  <c r="AJ19" i="137"/>
  <c r="AQ21" i="137"/>
  <c r="O23" i="137"/>
  <c r="AJ23" i="137"/>
  <c r="AJ32" i="137"/>
  <c r="G50" i="137"/>
  <c r="AQ14" i="137"/>
  <c r="O16" i="137"/>
  <c r="AJ24" i="137"/>
  <c r="AJ28" i="137"/>
  <c r="V30" i="137"/>
  <c r="AJ33" i="137"/>
  <c r="V39" i="137"/>
  <c r="CF41" i="137"/>
  <c r="V43" i="137"/>
  <c r="AJ44" i="137"/>
  <c r="V15" i="137"/>
  <c r="AQ22" i="137"/>
  <c r="V36" i="137"/>
  <c r="O45" i="137"/>
  <c r="V27" i="137"/>
  <c r="AC30" i="137"/>
  <c r="V32" i="137"/>
  <c r="AC35" i="137"/>
  <c r="AQ40" i="137"/>
  <c r="CF42" i="137"/>
  <c r="V44" i="137"/>
  <c r="AQ47" i="137"/>
  <c r="AJ13" i="137"/>
  <c r="AJ14" i="137"/>
  <c r="AC15" i="137"/>
  <c r="BT18" i="137"/>
  <c r="AC21" i="137"/>
  <c r="V24" i="137"/>
  <c r="AJ25" i="137"/>
  <c r="BT26" i="137"/>
  <c r="BT30" i="137"/>
  <c r="AQ33" i="137"/>
  <c r="AJ37" i="137"/>
  <c r="AJ49" i="137"/>
  <c r="V23" i="137"/>
  <c r="AC31" i="137"/>
  <c r="O38" i="137"/>
  <c r="BT39" i="137"/>
  <c r="O42" i="137"/>
  <c r="AC44" i="137"/>
  <c r="CF47" i="137"/>
  <c r="V28" i="137"/>
  <c r="AQ32" i="137"/>
  <c r="AC43" i="137"/>
  <c r="AQ45" i="137"/>
  <c r="O47" i="137"/>
  <c r="AQ13" i="137"/>
  <c r="O14" i="137"/>
  <c r="AQ16" i="137"/>
  <c r="AQ17" i="137"/>
  <c r="AC23" i="137"/>
  <c r="BT40" i="137"/>
  <c r="AC33" i="137"/>
  <c r="O35" i="137"/>
  <c r="V37" i="137"/>
  <c r="AJ42" i="137"/>
  <c r="O43" i="137"/>
  <c r="BT45" i="137"/>
  <c r="BT48" i="137"/>
  <c r="O22" i="137"/>
  <c r="V42" i="137"/>
  <c r="O44" i="137"/>
  <c r="AC48" i="137"/>
  <c r="V49" i="137"/>
  <c r="E50" i="137"/>
  <c r="E51" i="137"/>
  <c r="U52" i="137"/>
  <c r="U51" i="137"/>
  <c r="S52" i="137"/>
  <c r="S51" i="137"/>
  <c r="L52" i="137"/>
  <c r="F50" i="137"/>
  <c r="AP52" i="137"/>
  <c r="AP51" i="137"/>
  <c r="V14" i="137"/>
  <c r="R52" i="137"/>
  <c r="R51" i="137"/>
  <c r="V12" i="137"/>
  <c r="T52" i="137"/>
  <c r="T51" i="137"/>
  <c r="AN52" i="137"/>
  <c r="AN51" i="137"/>
  <c r="AQ12" i="137"/>
  <c r="AB51" i="137"/>
  <c r="AB52" i="137"/>
  <c r="AC12" i="137"/>
  <c r="AF51" i="137"/>
  <c r="AF52" i="137"/>
  <c r="AJ12" i="137"/>
  <c r="AG51" i="137"/>
  <c r="AG52" i="137"/>
  <c r="AC13" i="137"/>
  <c r="AI51" i="137"/>
  <c r="AI52" i="137"/>
  <c r="L51" i="137"/>
  <c r="AJ20" i="137"/>
  <c r="AQ26" i="137"/>
  <c r="M51" i="137"/>
  <c r="M52" i="137"/>
  <c r="Y51" i="137"/>
  <c r="Y52" i="137"/>
  <c r="CF13" i="137"/>
  <c r="BT23" i="137"/>
  <c r="CF25" i="137"/>
  <c r="K51" i="137"/>
  <c r="K52" i="137"/>
  <c r="N51" i="137"/>
  <c r="N52" i="137"/>
  <c r="Z51" i="137"/>
  <c r="Z52" i="137"/>
  <c r="BT20" i="137"/>
  <c r="AQ24" i="137"/>
  <c r="AQ30" i="137"/>
  <c r="O31" i="137"/>
  <c r="O12" i="137"/>
  <c r="AA51" i="137"/>
  <c r="AA52" i="137"/>
  <c r="AM52" i="137"/>
  <c r="CF15" i="137"/>
  <c r="V17" i="137"/>
  <c r="AC24" i="137"/>
  <c r="AJ27" i="137"/>
  <c r="AJ31" i="137"/>
  <c r="BT31" i="137"/>
  <c r="CF31" i="137"/>
  <c r="BT37" i="137"/>
  <c r="CF37" i="137"/>
  <c r="D50" i="137"/>
  <c r="D51" i="137"/>
  <c r="AO52" i="137"/>
  <c r="AO51" i="137"/>
  <c r="AJ21" i="137"/>
  <c r="O28" i="137"/>
  <c r="V31" i="137"/>
  <c r="O32" i="137"/>
  <c r="AQ23" i="137"/>
  <c r="O24" i="137"/>
  <c r="AJ30" i="137"/>
  <c r="AQ31" i="137"/>
  <c r="AC18" i="137"/>
  <c r="CF27" i="137"/>
  <c r="V19" i="137"/>
  <c r="BT21" i="137"/>
  <c r="CF21" i="137"/>
  <c r="AH51" i="137"/>
  <c r="AH52" i="137"/>
  <c r="O27" i="137"/>
  <c r="AC27" i="137"/>
  <c r="AQ27" i="137"/>
  <c r="CF32" i="137"/>
  <c r="BT32" i="137"/>
  <c r="AQ35" i="137"/>
  <c r="AC28" i="137"/>
  <c r="AQ28" i="137"/>
  <c r="O30" i="137"/>
  <c r="AC40" i="137"/>
  <c r="BT43" i="137"/>
  <c r="CF43" i="137"/>
  <c r="V26" i="137"/>
  <c r="AQ37" i="137"/>
  <c r="O20" i="137"/>
  <c r="AC25" i="137"/>
  <c r="AC37" i="137"/>
  <c r="AQ49" i="137"/>
  <c r="O37" i="137"/>
  <c r="O40" i="137"/>
  <c r="AQ43" i="137"/>
  <c r="AJ39" i="137"/>
  <c r="V29" i="137"/>
  <c r="AJ38" i="137"/>
  <c r="V47" i="137"/>
  <c r="O33" i="137"/>
  <c r="AC39" i="137"/>
  <c r="AQ44" i="137"/>
  <c r="AJ45" i="137"/>
  <c r="O41" i="137"/>
  <c r="V45" i="137"/>
  <c r="O46" i="137"/>
  <c r="V41" i="137"/>
  <c r="AC34" i="137"/>
  <c r="V35" i="137"/>
  <c r="O36" i="137"/>
  <c r="AJ43" i="137"/>
  <c r="AQ42" i="137"/>
  <c r="O49" i="137"/>
  <c r="V33" i="137"/>
  <c r="CF49" i="137"/>
  <c r="H45" i="137" l="1"/>
  <c r="BT50" i="137"/>
  <c r="H46" i="137"/>
  <c r="H41" i="137"/>
  <c r="CF50" i="137"/>
  <c r="H40" i="137"/>
  <c r="H48" i="137"/>
  <c r="H28" i="137"/>
  <c r="H30" i="137"/>
  <c r="H21" i="137"/>
  <c r="H25" i="137"/>
  <c r="H49" i="137"/>
  <c r="H23" i="137"/>
  <c r="H43" i="137"/>
  <c r="H38" i="137"/>
  <c r="H26" i="137"/>
  <c r="H44" i="137"/>
  <c r="H37" i="137"/>
  <c r="H33" i="137"/>
  <c r="H27" i="137"/>
  <c r="H17" i="137"/>
  <c r="H22" i="137"/>
  <c r="H15" i="137"/>
  <c r="H36" i="137"/>
  <c r="H32" i="137"/>
  <c r="H20" i="137"/>
  <c r="H18" i="137"/>
  <c r="H14" i="137"/>
  <c r="H12" i="137"/>
  <c r="H13" i="137"/>
  <c r="H29" i="137"/>
  <c r="H39" i="137"/>
  <c r="H35" i="137"/>
  <c r="H19" i="137"/>
  <c r="H34" i="137"/>
  <c r="H47" i="137"/>
  <c r="H31" i="137"/>
  <c r="H16" i="137"/>
  <c r="H24" i="137"/>
  <c r="H42" i="137"/>
  <c r="I16" i="137" l="1"/>
  <c r="I32" i="137"/>
  <c r="I20" i="137"/>
  <c r="I31" i="137"/>
  <c r="I47" i="137"/>
  <c r="I15" i="137"/>
  <c r="I49" i="137"/>
  <c r="I22" i="137"/>
  <c r="AD16" i="137"/>
  <c r="P16" i="137"/>
  <c r="AK16" i="137"/>
  <c r="W16" i="137"/>
  <c r="AR16" i="137"/>
  <c r="I43" i="137"/>
  <c r="I23" i="137"/>
  <c r="I36" i="137"/>
  <c r="I41" i="137"/>
  <c r="I34" i="137"/>
  <c r="I19" i="137"/>
  <c r="I25" i="137"/>
  <c r="I35" i="137"/>
  <c r="I17" i="137"/>
  <c r="I46" i="137"/>
  <c r="I39" i="137"/>
  <c r="I27" i="137"/>
  <c r="I21" i="137"/>
  <c r="I29" i="137"/>
  <c r="I33" i="137"/>
  <c r="I30" i="137"/>
  <c r="I13" i="137"/>
  <c r="I37" i="137"/>
  <c r="I28" i="137"/>
  <c r="H50" i="137"/>
  <c r="I12" i="137"/>
  <c r="I44" i="137"/>
  <c r="I48" i="137"/>
  <c r="I42" i="137"/>
  <c r="I14" i="137"/>
  <c r="I26" i="137"/>
  <c r="I40" i="137"/>
  <c r="I24" i="137"/>
  <c r="I18" i="137"/>
  <c r="I38" i="137"/>
  <c r="I45" i="137"/>
  <c r="P34" i="137" l="1"/>
  <c r="W34" i="137"/>
  <c r="AK34" i="137"/>
  <c r="AD34" i="137"/>
  <c r="AR34" i="137"/>
  <c r="W24" i="137"/>
  <c r="AD24" i="137"/>
  <c r="P24" i="137"/>
  <c r="AR24" i="137"/>
  <c r="AK24" i="137"/>
  <c r="AR42" i="137"/>
  <c r="P42" i="137"/>
  <c r="W42" i="137"/>
  <c r="AD42" i="137"/>
  <c r="AK42" i="137"/>
  <c r="P32" i="137"/>
  <c r="AK32" i="137"/>
  <c r="AD32" i="137"/>
  <c r="AR32" i="137"/>
  <c r="W32" i="137"/>
  <c r="AD44" i="137"/>
  <c r="P44" i="137"/>
  <c r="AR44" i="137"/>
  <c r="AK44" i="137"/>
  <c r="W44" i="137"/>
  <c r="P46" i="137"/>
  <c r="AR46" i="137"/>
  <c r="AK46" i="137"/>
  <c r="AD46" i="137"/>
  <c r="W46" i="137"/>
  <c r="I50" i="137"/>
  <c r="W12" i="137"/>
  <c r="AK12" i="137"/>
  <c r="P12" i="137"/>
  <c r="AD12" i="137"/>
  <c r="AR12" i="137"/>
  <c r="AK17" i="137"/>
  <c r="W17" i="137"/>
  <c r="AR17" i="137"/>
  <c r="AD17" i="137"/>
  <c r="P17" i="137"/>
  <c r="AK13" i="137"/>
  <c r="AR13" i="137"/>
  <c r="AD13" i="137"/>
  <c r="P13" i="137"/>
  <c r="W13" i="137"/>
  <c r="AD30" i="137"/>
  <c r="W30" i="137"/>
  <c r="P30" i="137"/>
  <c r="AR30" i="137"/>
  <c r="AK30" i="137"/>
  <c r="AD27" i="137"/>
  <c r="AR27" i="137"/>
  <c r="W27" i="137"/>
  <c r="AK27" i="137"/>
  <c r="P27" i="137"/>
  <c r="AD39" i="137"/>
  <c r="P39" i="137"/>
  <c r="W39" i="137"/>
  <c r="AK39" i="137"/>
  <c r="AR39" i="137"/>
  <c r="AR35" i="137"/>
  <c r="AK35" i="137"/>
  <c r="P35" i="137"/>
  <c r="AD35" i="137"/>
  <c r="W35" i="137"/>
  <c r="AK49" i="137"/>
  <c r="W49" i="137"/>
  <c r="AR49" i="137"/>
  <c r="AD49" i="137"/>
  <c r="P49" i="137"/>
  <c r="AR48" i="137"/>
  <c r="AK48" i="137"/>
  <c r="P48" i="137"/>
  <c r="W48" i="137"/>
  <c r="AD48" i="137"/>
  <c r="W45" i="137"/>
  <c r="AK45" i="137"/>
  <c r="AD45" i="137"/>
  <c r="P45" i="137"/>
  <c r="AR45" i="137"/>
  <c r="AR28" i="137"/>
  <c r="AD28" i="137"/>
  <c r="P28" i="137"/>
  <c r="AK28" i="137"/>
  <c r="W28" i="137"/>
  <c r="P25" i="137"/>
  <c r="AK25" i="137"/>
  <c r="AR25" i="137"/>
  <c r="AD25" i="137"/>
  <c r="W25" i="137"/>
  <c r="AK38" i="137"/>
  <c r="W38" i="137"/>
  <c r="P38" i="137"/>
  <c r="AD38" i="137"/>
  <c r="AR38" i="137"/>
  <c r="AR37" i="137"/>
  <c r="AD37" i="137"/>
  <c r="P37" i="137"/>
  <c r="AK37" i="137"/>
  <c r="W37" i="137"/>
  <c r="W19" i="137"/>
  <c r="AR19" i="137"/>
  <c r="AD19" i="137"/>
  <c r="P19" i="137"/>
  <c r="AK19" i="137"/>
  <c r="AK22" i="137"/>
  <c r="W22" i="137"/>
  <c r="AR22" i="137"/>
  <c r="AD22" i="137"/>
  <c r="P22" i="137"/>
  <c r="P41" i="137"/>
  <c r="W41" i="137"/>
  <c r="AR41" i="137"/>
  <c r="AD41" i="137"/>
  <c r="AK41" i="137"/>
  <c r="W33" i="137"/>
  <c r="AD33" i="137"/>
  <c r="AK33" i="137"/>
  <c r="P33" i="137"/>
  <c r="AR33" i="137"/>
  <c r="AK36" i="137"/>
  <c r="AD36" i="137"/>
  <c r="AR36" i="137"/>
  <c r="P36" i="137"/>
  <c r="W36" i="137"/>
  <c r="AK26" i="137"/>
  <c r="W26" i="137"/>
  <c r="AR26" i="137"/>
  <c r="AD26" i="137"/>
  <c r="P26" i="137"/>
  <c r="AK29" i="137"/>
  <c r="AR29" i="137"/>
  <c r="W29" i="137"/>
  <c r="AD29" i="137"/>
  <c r="P29" i="137"/>
  <c r="AD23" i="137"/>
  <c r="P23" i="137"/>
  <c r="W23" i="137"/>
  <c r="AK23" i="137"/>
  <c r="AR23" i="137"/>
  <c r="W31" i="137"/>
  <c r="AR31" i="137"/>
  <c r="AK31" i="137"/>
  <c r="P31" i="137"/>
  <c r="AD31" i="137"/>
  <c r="AK18" i="137"/>
  <c r="W18" i="137"/>
  <c r="AR18" i="137"/>
  <c r="AD18" i="137"/>
  <c r="P18" i="137"/>
  <c r="AK15" i="137"/>
  <c r="W15" i="137"/>
  <c r="AR15" i="137"/>
  <c r="AD15" i="137"/>
  <c r="P15" i="137"/>
  <c r="W40" i="137"/>
  <c r="AD40" i="137"/>
  <c r="P40" i="137"/>
  <c r="AR40" i="137"/>
  <c r="AK40" i="137"/>
  <c r="AR47" i="137"/>
  <c r="AK47" i="137"/>
  <c r="AD47" i="137"/>
  <c r="P47" i="137"/>
  <c r="W47" i="137"/>
  <c r="AR14" i="137"/>
  <c r="AD14" i="137"/>
  <c r="P14" i="137"/>
  <c r="AK14" i="137"/>
  <c r="W14" i="137"/>
  <c r="AR21" i="137"/>
  <c r="AK21" i="137"/>
  <c r="W21" i="137"/>
  <c r="AD21" i="137"/>
  <c r="P21" i="137"/>
  <c r="AK43" i="137"/>
  <c r="AR43" i="137"/>
  <c r="AD43" i="137"/>
  <c r="W43" i="137"/>
  <c r="P43" i="137"/>
  <c r="P20" i="137"/>
  <c r="AK20" i="137"/>
  <c r="AR20" i="137"/>
  <c r="AD20" i="137"/>
  <c r="W20" i="137"/>
  <c r="AE28" i="137" l="1"/>
  <c r="AW28" i="137" s="1"/>
  <c r="BC28" i="137" s="1"/>
  <c r="X31" i="137"/>
  <c r="AV31" i="137" s="1"/>
  <c r="BB31" i="137" s="1"/>
  <c r="Q16" i="137"/>
  <c r="AU16" i="137" s="1"/>
  <c r="BA16" i="137" s="1"/>
  <c r="X16" i="137"/>
  <c r="AV16" i="137" s="1"/>
  <c r="BB16" i="137" s="1"/>
  <c r="AS47" i="137"/>
  <c r="AY47" i="137" s="1"/>
  <c r="BE47" i="137" s="1"/>
  <c r="AS13" i="137"/>
  <c r="AY13" i="137" s="1"/>
  <c r="BE13" i="137" s="1"/>
  <c r="AS27" i="137"/>
  <c r="AY27" i="137" s="1"/>
  <c r="BE27" i="137" s="1"/>
  <c r="AE16" i="137"/>
  <c r="AW16" i="137" s="1"/>
  <c r="BC16" i="137" s="1"/>
  <c r="Q20" i="137"/>
  <c r="AU20" i="137" s="1"/>
  <c r="BA20" i="137" s="1"/>
  <c r="AS21" i="137"/>
  <c r="AY21" i="137" s="1"/>
  <c r="BE21" i="137" s="1"/>
  <c r="AL15" i="137"/>
  <c r="AX15" i="137" s="1"/>
  <c r="BD15" i="137" s="1"/>
  <c r="AL29" i="137"/>
  <c r="AX29" i="137" s="1"/>
  <c r="BD29" i="137" s="1"/>
  <c r="Q41" i="137"/>
  <c r="AU41" i="137" s="1"/>
  <c r="AL38" i="137"/>
  <c r="AX38" i="137" s="1"/>
  <c r="BD38" i="137" s="1"/>
  <c r="X24" i="137"/>
  <c r="AV24" i="137" s="1"/>
  <c r="BB24" i="137" s="1"/>
  <c r="AL40" i="137"/>
  <c r="AX40" i="137" s="1"/>
  <c r="BD40" i="137" s="1"/>
  <c r="AS33" i="137"/>
  <c r="AY33" i="137" s="1"/>
  <c r="BE33" i="137" s="1"/>
  <c r="AL35" i="137"/>
  <c r="AX35" i="137" s="1"/>
  <c r="BD35" i="137" s="1"/>
  <c r="AS34" i="137"/>
  <c r="AY34" i="137" s="1"/>
  <c r="BE34" i="137" s="1"/>
  <c r="AE18" i="137"/>
  <c r="AW18" i="137" s="1"/>
  <c r="BC18" i="137" s="1"/>
  <c r="AE22" i="137"/>
  <c r="AW22" i="137" s="1"/>
  <c r="BC22" i="137" s="1"/>
  <c r="AS14" i="137"/>
  <c r="AY14" i="137" s="1"/>
  <c r="BE14" i="137" s="1"/>
  <c r="AE23" i="137"/>
  <c r="AW23" i="137" s="1"/>
  <c r="BC23" i="137" s="1"/>
  <c r="X33" i="137"/>
  <c r="AV33" i="137" s="1"/>
  <c r="BB33" i="137" s="1"/>
  <c r="AS37" i="137"/>
  <c r="AY37" i="137" s="1"/>
  <c r="BE37" i="137" s="1"/>
  <c r="AL45" i="137"/>
  <c r="AX45" i="137" s="1"/>
  <c r="BD45" i="137" s="1"/>
  <c r="X39" i="137"/>
  <c r="AV39" i="137" s="1"/>
  <c r="BB39" i="137" s="1"/>
  <c r="X17" i="137"/>
  <c r="AV17" i="137" s="1"/>
  <c r="BB17" i="137" s="1"/>
  <c r="X20" i="137"/>
  <c r="AV20" i="137" s="1"/>
  <c r="BB20" i="137" s="1"/>
  <c r="X47" i="137"/>
  <c r="AV47" i="137" s="1"/>
  <c r="BB47" i="137" s="1"/>
  <c r="X36" i="137"/>
  <c r="AV36" i="137" s="1"/>
  <c r="BB36" i="137" s="1"/>
  <c r="X45" i="137"/>
  <c r="AV45" i="137" s="1"/>
  <c r="BB45" i="137" s="1"/>
  <c r="Q39" i="137"/>
  <c r="AU39" i="137" s="1"/>
  <c r="AE46" i="137"/>
  <c r="AW46" i="137" s="1"/>
  <c r="BC46" i="137" s="1"/>
  <c r="AL24" i="137"/>
  <c r="AX24" i="137" s="1"/>
  <c r="BD24" i="137" s="1"/>
  <c r="AE20" i="137"/>
  <c r="AW20" i="137" s="1"/>
  <c r="BC20" i="137" s="1"/>
  <c r="AE21" i="137"/>
  <c r="AW21" i="137" s="1"/>
  <c r="BC21" i="137" s="1"/>
  <c r="Q47" i="137"/>
  <c r="AU47" i="137" s="1"/>
  <c r="Q15" i="137"/>
  <c r="AU15" i="137" s="1"/>
  <c r="AE31" i="137"/>
  <c r="AW31" i="137" s="1"/>
  <c r="BC31" i="137" s="1"/>
  <c r="AE29" i="137"/>
  <c r="AW29" i="137" s="1"/>
  <c r="BC29" i="137" s="1"/>
  <c r="Q36" i="137"/>
  <c r="AU36" i="137" s="1"/>
  <c r="AE41" i="137"/>
  <c r="AW41" i="137" s="1"/>
  <c r="BC41" i="137" s="1"/>
  <c r="AL19" i="137"/>
  <c r="AX19" i="137" s="1"/>
  <c r="BD19" i="137" s="1"/>
  <c r="AE38" i="137"/>
  <c r="AW38" i="137" s="1"/>
  <c r="BC38" i="137" s="1"/>
  <c r="AE48" i="137"/>
  <c r="AW48" i="137" s="1"/>
  <c r="BC48" i="137" s="1"/>
  <c r="AE39" i="137"/>
  <c r="AW39" i="137" s="1"/>
  <c r="BC39" i="137" s="1"/>
  <c r="AE30" i="137"/>
  <c r="AW30" i="137" s="1"/>
  <c r="BC30" i="137" s="1"/>
  <c r="AL46" i="137"/>
  <c r="AX46" i="137" s="1"/>
  <c r="BD46" i="137" s="1"/>
  <c r="AS32" i="137"/>
  <c r="AY32" i="137" s="1"/>
  <c r="BE32" i="137" s="1"/>
  <c r="AS24" i="137"/>
  <c r="AY24" i="137" s="1"/>
  <c r="BE24" i="137" s="1"/>
  <c r="X44" i="137"/>
  <c r="AV44" i="137" s="1"/>
  <c r="BB44" i="137" s="1"/>
  <c r="Q18" i="137"/>
  <c r="AU18" i="137" s="1"/>
  <c r="X43" i="137"/>
  <c r="AV43" i="137" s="1"/>
  <c r="BB43" i="137" s="1"/>
  <c r="Q34" i="137"/>
  <c r="AU34" i="137" s="1"/>
  <c r="AS20" i="137"/>
  <c r="AY20" i="137" s="1"/>
  <c r="BE20" i="137" s="1"/>
  <c r="X21" i="137"/>
  <c r="AV21" i="137" s="1"/>
  <c r="BB21" i="137" s="1"/>
  <c r="AE47" i="137"/>
  <c r="AW47" i="137" s="1"/>
  <c r="BC47" i="137" s="1"/>
  <c r="AE15" i="137"/>
  <c r="AW15" i="137" s="1"/>
  <c r="BC15" i="137" s="1"/>
  <c r="Q31" i="137"/>
  <c r="AU31" i="137" s="1"/>
  <c r="X29" i="137"/>
  <c r="AV29" i="137" s="1"/>
  <c r="BB29" i="137" s="1"/>
  <c r="AS36" i="137"/>
  <c r="AY36" i="137" s="1"/>
  <c r="BE36" i="137" s="1"/>
  <c r="AS41" i="137"/>
  <c r="AY41" i="137" s="1"/>
  <c r="BE41" i="137" s="1"/>
  <c r="Q19" i="137"/>
  <c r="AU19" i="137" s="1"/>
  <c r="X28" i="137"/>
  <c r="AV28" i="137" s="1"/>
  <c r="BB28" i="137" s="1"/>
  <c r="X48" i="137"/>
  <c r="AV48" i="137" s="1"/>
  <c r="BB48" i="137" s="1"/>
  <c r="X35" i="137"/>
  <c r="AV35" i="137" s="1"/>
  <c r="BB35" i="137" s="1"/>
  <c r="Q27" i="137"/>
  <c r="AU27" i="137" s="1"/>
  <c r="X13" i="137"/>
  <c r="AV13" i="137" s="1"/>
  <c r="BB13" i="137" s="1"/>
  <c r="AR50" i="137"/>
  <c r="AS12" i="137"/>
  <c r="AS46" i="137"/>
  <c r="AY46" i="137" s="1"/>
  <c r="BE46" i="137" s="1"/>
  <c r="AE32" i="137"/>
  <c r="AW32" i="137" s="1"/>
  <c r="BC32" i="137" s="1"/>
  <c r="X19" i="137"/>
  <c r="AV19" i="137" s="1"/>
  <c r="BB19" i="137" s="1"/>
  <c r="Q35" i="137"/>
  <c r="AU35" i="137" s="1"/>
  <c r="Q32" i="137"/>
  <c r="AU32" i="137" s="1"/>
  <c r="X14" i="137"/>
  <c r="AV14" i="137" s="1"/>
  <c r="BB14" i="137" s="1"/>
  <c r="AS23" i="137"/>
  <c r="AY23" i="137" s="1"/>
  <c r="BE23" i="137" s="1"/>
  <c r="Q22" i="137"/>
  <c r="AU22" i="137" s="1"/>
  <c r="AS28" i="137"/>
  <c r="AY28" i="137" s="1"/>
  <c r="BE28" i="137" s="1"/>
  <c r="AS48" i="137"/>
  <c r="AY48" i="137" s="1"/>
  <c r="BE48" i="137" s="1"/>
  <c r="AL42" i="137"/>
  <c r="AX42" i="137" s="1"/>
  <c r="BD42" i="137" s="1"/>
  <c r="AL14" i="137"/>
  <c r="AX14" i="137" s="1"/>
  <c r="BD14" i="137" s="1"/>
  <c r="AE26" i="137"/>
  <c r="AW26" i="137" s="1"/>
  <c r="BC26" i="137" s="1"/>
  <c r="AL44" i="137"/>
  <c r="AX44" i="137" s="1"/>
  <c r="BD44" i="137" s="1"/>
  <c r="X40" i="137"/>
  <c r="AV40" i="137" s="1"/>
  <c r="BB40" i="137" s="1"/>
  <c r="AL26" i="137"/>
  <c r="AX26" i="137" s="1"/>
  <c r="BD26" i="137" s="1"/>
  <c r="AL22" i="137"/>
  <c r="AX22" i="137" s="1"/>
  <c r="BD22" i="137" s="1"/>
  <c r="AL49" i="137"/>
  <c r="AX49" i="137" s="1"/>
  <c r="BD49" i="137" s="1"/>
  <c r="X30" i="137"/>
  <c r="AV30" i="137" s="1"/>
  <c r="BB30" i="137" s="1"/>
  <c r="AS42" i="137"/>
  <c r="AY42" i="137" s="1"/>
  <c r="BE42" i="137" s="1"/>
  <c r="Q21" i="137"/>
  <c r="AU21" i="137" s="1"/>
  <c r="AL41" i="137"/>
  <c r="AX41" i="137" s="1"/>
  <c r="BD41" i="137" s="1"/>
  <c r="Q25" i="137"/>
  <c r="AU25" i="137" s="1"/>
  <c r="X32" i="137"/>
  <c r="AV32" i="137" s="1"/>
  <c r="BB32" i="137" s="1"/>
  <c r="AL20" i="137"/>
  <c r="AX20" i="137" s="1"/>
  <c r="BD20" i="137" s="1"/>
  <c r="AL21" i="137"/>
  <c r="AX21" i="137" s="1"/>
  <c r="BD21" i="137" s="1"/>
  <c r="AS15" i="137"/>
  <c r="AY15" i="137" s="1"/>
  <c r="BE15" i="137" s="1"/>
  <c r="AL31" i="137"/>
  <c r="AX31" i="137" s="1"/>
  <c r="BD31" i="137" s="1"/>
  <c r="AE36" i="137"/>
  <c r="AW36" i="137" s="1"/>
  <c r="BC36" i="137" s="1"/>
  <c r="X41" i="137"/>
  <c r="AV41" i="137" s="1"/>
  <c r="BB41" i="137" s="1"/>
  <c r="AE19" i="137"/>
  <c r="AW19" i="137" s="1"/>
  <c r="BC19" i="137" s="1"/>
  <c r="Q38" i="137"/>
  <c r="AU38" i="137" s="1"/>
  <c r="AL28" i="137"/>
  <c r="AX28" i="137" s="1"/>
  <c r="BD28" i="137" s="1"/>
  <c r="Q48" i="137"/>
  <c r="AU48" i="137" s="1"/>
  <c r="AL27" i="137"/>
  <c r="AX27" i="137" s="1"/>
  <c r="BD27" i="137" s="1"/>
  <c r="Q13" i="137"/>
  <c r="AU13" i="137" s="1"/>
  <c r="AD50" i="137"/>
  <c r="AE12" i="137"/>
  <c r="AL32" i="137"/>
  <c r="AX32" i="137" s="1"/>
  <c r="BD32" i="137" s="1"/>
  <c r="Q24" i="137"/>
  <c r="AU24" i="137" s="1"/>
  <c r="AE27" i="137"/>
  <c r="AW27" i="137" s="1"/>
  <c r="BC27" i="137" s="1"/>
  <c r="X25" i="137"/>
  <c r="AV25" i="137" s="1"/>
  <c r="BB25" i="137" s="1"/>
  <c r="AL43" i="137"/>
  <c r="AX43" i="137" s="1"/>
  <c r="BD43" i="137" s="1"/>
  <c r="X46" i="137"/>
  <c r="AV46" i="137" s="1"/>
  <c r="BB46" i="137" s="1"/>
  <c r="Q29" i="137"/>
  <c r="AU29" i="137" s="1"/>
  <c r="AS38" i="137"/>
  <c r="AY38" i="137" s="1"/>
  <c r="BE38" i="137" s="1"/>
  <c r="AL17" i="137"/>
  <c r="AX17" i="137" s="1"/>
  <c r="BD17" i="137" s="1"/>
  <c r="AL47" i="137"/>
  <c r="AX47" i="137" s="1"/>
  <c r="BD47" i="137" s="1"/>
  <c r="X15" i="137"/>
  <c r="AV15" i="137" s="1"/>
  <c r="BB15" i="137" s="1"/>
  <c r="AS31" i="137"/>
  <c r="AY31" i="137" s="1"/>
  <c r="BE31" i="137" s="1"/>
  <c r="AS29" i="137"/>
  <c r="AY29" i="137" s="1"/>
  <c r="BE29" i="137" s="1"/>
  <c r="AL36" i="137"/>
  <c r="AX36" i="137" s="1"/>
  <c r="BD36" i="137" s="1"/>
  <c r="AS19" i="137"/>
  <c r="AY19" i="137" s="1"/>
  <c r="BE19" i="137" s="1"/>
  <c r="X38" i="137"/>
  <c r="AV38" i="137" s="1"/>
  <c r="BB38" i="137" s="1"/>
  <c r="Q28" i="137"/>
  <c r="AU28" i="137" s="1"/>
  <c r="AL48" i="137"/>
  <c r="AX48" i="137" s="1"/>
  <c r="BD48" i="137" s="1"/>
  <c r="AE35" i="137"/>
  <c r="AW35" i="137" s="1"/>
  <c r="BC35" i="137" s="1"/>
  <c r="X27" i="137"/>
  <c r="AV27" i="137" s="1"/>
  <c r="BB27" i="137" s="1"/>
  <c r="AE13" i="137"/>
  <c r="AW13" i="137" s="1"/>
  <c r="BC13" i="137" s="1"/>
  <c r="P50" i="137"/>
  <c r="Q12" i="137"/>
  <c r="Q46" i="137"/>
  <c r="AU46" i="137" s="1"/>
  <c r="AE24" i="137"/>
  <c r="AW24" i="137" s="1"/>
  <c r="BC24" i="137" s="1"/>
  <c r="AK50" i="137"/>
  <c r="AL12" i="137"/>
  <c r="Q26" i="137"/>
  <c r="AU26" i="137" s="1"/>
  <c r="W50" i="137"/>
  <c r="X12" i="137"/>
  <c r="X37" i="137"/>
  <c r="AV37" i="137" s="1"/>
  <c r="BB37" i="137" s="1"/>
  <c r="Q49" i="137"/>
  <c r="AU49" i="137" s="1"/>
  <c r="AE42" i="137"/>
  <c r="AW42" i="137" s="1"/>
  <c r="BC42" i="137" s="1"/>
  <c r="AE43" i="137"/>
  <c r="AW43" i="137" s="1"/>
  <c r="BC43" i="137" s="1"/>
  <c r="AL23" i="137"/>
  <c r="AX23" i="137" s="1"/>
  <c r="BD23" i="137" s="1"/>
  <c r="AL33" i="137"/>
  <c r="AX33" i="137" s="1"/>
  <c r="BD33" i="137" s="1"/>
  <c r="AL37" i="137"/>
  <c r="AX37" i="137" s="1"/>
  <c r="BD37" i="137" s="1"/>
  <c r="Q45" i="137"/>
  <c r="AU45" i="137" s="1"/>
  <c r="AS39" i="137"/>
  <c r="AY39" i="137" s="1"/>
  <c r="BE39" i="137" s="1"/>
  <c r="AL30" i="137"/>
  <c r="AX30" i="137" s="1"/>
  <c r="BD30" i="137" s="1"/>
  <c r="AS44" i="137"/>
  <c r="AY44" i="137" s="1"/>
  <c r="BE44" i="137" s="1"/>
  <c r="AS43" i="137"/>
  <c r="AY43" i="137" s="1"/>
  <c r="BE43" i="137" s="1"/>
  <c r="Q14" i="137"/>
  <c r="AU14" i="137" s="1"/>
  <c r="Q40" i="137"/>
  <c r="AU40" i="137" s="1"/>
  <c r="X18" i="137"/>
  <c r="AV18" i="137" s="1"/>
  <c r="BB18" i="137" s="1"/>
  <c r="X23" i="137"/>
  <c r="AV23" i="137" s="1"/>
  <c r="BB23" i="137" s="1"/>
  <c r="Q37" i="137"/>
  <c r="AU37" i="137" s="1"/>
  <c r="AS25" i="137"/>
  <c r="AY25" i="137" s="1"/>
  <c r="BE25" i="137" s="1"/>
  <c r="AE45" i="137"/>
  <c r="AW45" i="137" s="1"/>
  <c r="BC45" i="137" s="1"/>
  <c r="AS49" i="137"/>
  <c r="AY49" i="137" s="1"/>
  <c r="BE49" i="137" s="1"/>
  <c r="AS30" i="137"/>
  <c r="AY30" i="137" s="1"/>
  <c r="BE30" i="137" s="1"/>
  <c r="AE17" i="137"/>
  <c r="AW17" i="137" s="1"/>
  <c r="BC17" i="137" s="1"/>
  <c r="AS16" i="137"/>
  <c r="AY16" i="137" s="1"/>
  <c r="BE16" i="137" s="1"/>
  <c r="Q44" i="137"/>
  <c r="AU44" i="137" s="1"/>
  <c r="X42" i="137"/>
  <c r="AV42" i="137" s="1"/>
  <c r="BB42" i="137" s="1"/>
  <c r="X34" i="137"/>
  <c r="AV34" i="137" s="1"/>
  <c r="BB34" i="137" s="1"/>
  <c r="Q43" i="137"/>
  <c r="AU43" i="137" s="1"/>
  <c r="AL13" i="137"/>
  <c r="AX13" i="137" s="1"/>
  <c r="BD13" i="137" s="1"/>
  <c r="AS40" i="137"/>
  <c r="AY40" i="137" s="1"/>
  <c r="BE40" i="137" s="1"/>
  <c r="Q33" i="137"/>
  <c r="AU33" i="137" s="1"/>
  <c r="AS45" i="137"/>
  <c r="AY45" i="137" s="1"/>
  <c r="BE45" i="137" s="1"/>
  <c r="AS35" i="137"/>
  <c r="AY35" i="137" s="1"/>
  <c r="BE35" i="137" s="1"/>
  <c r="AE34" i="137"/>
  <c r="AW34" i="137" s="1"/>
  <c r="BC34" i="137" s="1"/>
  <c r="AS18" i="137"/>
  <c r="AY18" i="137" s="1"/>
  <c r="BE18" i="137" s="1"/>
  <c r="AS26" i="137"/>
  <c r="AY26" i="137" s="1"/>
  <c r="BE26" i="137" s="1"/>
  <c r="AS22" i="137"/>
  <c r="AY22" i="137" s="1"/>
  <c r="BE22" i="137" s="1"/>
  <c r="AE25" i="137"/>
  <c r="AW25" i="137" s="1"/>
  <c r="BC25" i="137" s="1"/>
  <c r="AE49" i="137"/>
  <c r="AW49" i="137" s="1"/>
  <c r="BC49" i="137" s="1"/>
  <c r="Q17" i="137"/>
  <c r="AU17" i="137" s="1"/>
  <c r="AL34" i="137"/>
  <c r="AX34" i="137" s="1"/>
  <c r="BD34" i="137" s="1"/>
  <c r="AE14" i="137"/>
  <c r="AW14" i="137" s="1"/>
  <c r="BC14" i="137" s="1"/>
  <c r="AE40" i="137"/>
  <c r="AW40" i="137" s="1"/>
  <c r="BC40" i="137" s="1"/>
  <c r="AL18" i="137"/>
  <c r="AX18" i="137" s="1"/>
  <c r="BD18" i="137" s="1"/>
  <c r="Q23" i="137"/>
  <c r="AU23" i="137" s="1"/>
  <c r="X26" i="137"/>
  <c r="AV26" i="137" s="1"/>
  <c r="BB26" i="137" s="1"/>
  <c r="AE33" i="137"/>
  <c r="AW33" i="137" s="1"/>
  <c r="BC33" i="137" s="1"/>
  <c r="X22" i="137"/>
  <c r="AV22" i="137" s="1"/>
  <c r="BB22" i="137" s="1"/>
  <c r="AE37" i="137"/>
  <c r="AW37" i="137" s="1"/>
  <c r="BC37" i="137" s="1"/>
  <c r="AL25" i="137"/>
  <c r="AX25" i="137" s="1"/>
  <c r="BD25" i="137" s="1"/>
  <c r="X49" i="137"/>
  <c r="AV49" i="137" s="1"/>
  <c r="BB49" i="137" s="1"/>
  <c r="AL39" i="137"/>
  <c r="AX39" i="137" s="1"/>
  <c r="BD39" i="137" s="1"/>
  <c r="Q30" i="137"/>
  <c r="AU30" i="137" s="1"/>
  <c r="AS17" i="137"/>
  <c r="AY17" i="137" s="1"/>
  <c r="BE17" i="137" s="1"/>
  <c r="AL16" i="137"/>
  <c r="AX16" i="137" s="1"/>
  <c r="BD16" i="137" s="1"/>
  <c r="AE44" i="137"/>
  <c r="AW44" i="137" s="1"/>
  <c r="BC44" i="137" s="1"/>
  <c r="Q42" i="137"/>
  <c r="AU42" i="137" s="1"/>
  <c r="BF20" i="137" l="1"/>
  <c r="BI20" i="137" s="1"/>
  <c r="BA29" i="137"/>
  <c r="BF29" i="137" s="1"/>
  <c r="AZ29" i="137"/>
  <c r="BF16" i="137"/>
  <c r="BA26" i="137"/>
  <c r="BF26" i="137" s="1"/>
  <c r="AZ26" i="137"/>
  <c r="BA28" i="137"/>
  <c r="BF28" i="137" s="1"/>
  <c r="AZ28" i="137"/>
  <c r="BA34" i="137"/>
  <c r="BF34" i="137" s="1"/>
  <c r="AZ34" i="137"/>
  <c r="AX12" i="137"/>
  <c r="AL50" i="137"/>
  <c r="BA36" i="137"/>
  <c r="BF36" i="137" s="1"/>
  <c r="AZ36" i="137"/>
  <c r="BA21" i="137"/>
  <c r="BF21" i="137" s="1"/>
  <c r="AZ21" i="137"/>
  <c r="BA42" i="137"/>
  <c r="BF42" i="137" s="1"/>
  <c r="AZ42" i="137"/>
  <c r="BA23" i="137"/>
  <c r="BF23" i="137" s="1"/>
  <c r="AZ23" i="137"/>
  <c r="BA45" i="137"/>
  <c r="BF45" i="137" s="1"/>
  <c r="AZ45" i="137"/>
  <c r="BA18" i="137"/>
  <c r="BF18" i="137" s="1"/>
  <c r="AZ18" i="137"/>
  <c r="BA27" i="137"/>
  <c r="BF27" i="137" s="1"/>
  <c r="AZ27" i="137"/>
  <c r="BA22" i="137"/>
  <c r="BF22" i="137" s="1"/>
  <c r="AZ22" i="137"/>
  <c r="BA32" i="137"/>
  <c r="BF32" i="137" s="1"/>
  <c r="AZ32" i="137"/>
  <c r="BA19" i="137"/>
  <c r="BF19" i="137" s="1"/>
  <c r="AZ19" i="137"/>
  <c r="BA33" i="137"/>
  <c r="BF33" i="137" s="1"/>
  <c r="AZ33" i="137"/>
  <c r="BA24" i="137"/>
  <c r="BF24" i="137" s="1"/>
  <c r="AZ24" i="137"/>
  <c r="BA35" i="137"/>
  <c r="BF35" i="137" s="1"/>
  <c r="AZ35" i="137"/>
  <c r="BA15" i="137"/>
  <c r="BF15" i="137" s="1"/>
  <c r="AZ15" i="137"/>
  <c r="BA38" i="137"/>
  <c r="BF38" i="137" s="1"/>
  <c r="AZ38" i="137"/>
  <c r="BA37" i="137"/>
  <c r="BF37" i="137" s="1"/>
  <c r="AZ37" i="137"/>
  <c r="BA46" i="137"/>
  <c r="BF46" i="137" s="1"/>
  <c r="AZ46" i="137"/>
  <c r="BA47" i="137"/>
  <c r="BF47" i="137" s="1"/>
  <c r="AZ47" i="137"/>
  <c r="BA30" i="137"/>
  <c r="BF30" i="137" s="1"/>
  <c r="AZ30" i="137"/>
  <c r="Q50" i="137"/>
  <c r="AU12" i="137"/>
  <c r="AE50" i="137"/>
  <c r="AW12" i="137"/>
  <c r="BA41" i="137"/>
  <c r="BF41" i="137" s="1"/>
  <c r="AZ41" i="137"/>
  <c r="BA43" i="137"/>
  <c r="BF43" i="137" s="1"/>
  <c r="AZ43" i="137"/>
  <c r="BA40" i="137"/>
  <c r="BF40" i="137" s="1"/>
  <c r="AZ40" i="137"/>
  <c r="BA49" i="137"/>
  <c r="BF49" i="137" s="1"/>
  <c r="AZ49" i="137"/>
  <c r="AZ20" i="137"/>
  <c r="BA13" i="137"/>
  <c r="BF13" i="137" s="1"/>
  <c r="AZ13" i="137"/>
  <c r="AS50" i="137"/>
  <c r="AY12" i="137"/>
  <c r="BA14" i="137"/>
  <c r="BF14" i="137" s="1"/>
  <c r="AZ14" i="137"/>
  <c r="BA25" i="137"/>
  <c r="BF25" i="137" s="1"/>
  <c r="AZ25" i="137"/>
  <c r="BA17" i="137"/>
  <c r="BF17" i="137" s="1"/>
  <c r="AZ17" i="137"/>
  <c r="BA31" i="137"/>
  <c r="BF31" i="137" s="1"/>
  <c r="AZ31" i="137"/>
  <c r="BA44" i="137"/>
  <c r="BF44" i="137" s="1"/>
  <c r="AZ44" i="137"/>
  <c r="X50" i="137"/>
  <c r="AV12" i="137"/>
  <c r="BA48" i="137"/>
  <c r="BF48" i="137" s="1"/>
  <c r="AZ48" i="137"/>
  <c r="BA39" i="137"/>
  <c r="BF39" i="137" s="1"/>
  <c r="AZ39" i="137"/>
  <c r="AZ16" i="137"/>
  <c r="BJ20" i="137" l="1"/>
  <c r="BK20" i="137" s="1"/>
  <c r="BM20" i="137" s="1"/>
  <c r="BJ46" i="137"/>
  <c r="BK46" i="137" s="1"/>
  <c r="BI46" i="137"/>
  <c r="AV50" i="137"/>
  <c r="BB50" i="137" s="1"/>
  <c r="BB12" i="137"/>
  <c r="AY50" i="137"/>
  <c r="BE50" i="137" s="1"/>
  <c r="BE12" i="137"/>
  <c r="BJ41" i="137"/>
  <c r="BK41" i="137" s="1"/>
  <c r="BI41" i="137"/>
  <c r="BI37" i="137"/>
  <c r="BJ37" i="137"/>
  <c r="BK37" i="137" s="1"/>
  <c r="BM37" i="137" s="1"/>
  <c r="BI19" i="137"/>
  <c r="BJ19" i="137"/>
  <c r="BK19" i="137" s="1"/>
  <c r="BJ23" i="137"/>
  <c r="BK23" i="137" s="1"/>
  <c r="BI23" i="137"/>
  <c r="BI28" i="137"/>
  <c r="BJ28" i="137"/>
  <c r="BK28" i="137" s="1"/>
  <c r="BM28" i="137" s="1"/>
  <c r="BJ14" i="137"/>
  <c r="BK14" i="137" s="1"/>
  <c r="BI14" i="137"/>
  <c r="BJ38" i="137"/>
  <c r="BK38" i="137" s="1"/>
  <c r="BI38" i="137"/>
  <c r="BI32" i="137"/>
  <c r="BJ32" i="137"/>
  <c r="BK32" i="137" s="1"/>
  <c r="BI42" i="137"/>
  <c r="BJ42" i="137"/>
  <c r="BK42" i="137" s="1"/>
  <c r="BJ26" i="137"/>
  <c r="BK26" i="137" s="1"/>
  <c r="BI26" i="137"/>
  <c r="BJ39" i="137"/>
  <c r="BK39" i="137" s="1"/>
  <c r="BI39" i="137"/>
  <c r="BI34" i="137"/>
  <c r="BJ34" i="137"/>
  <c r="BK34" i="137" s="1"/>
  <c r="BJ44" i="137"/>
  <c r="BK44" i="137" s="1"/>
  <c r="BI44" i="137"/>
  <c r="BJ13" i="137"/>
  <c r="BK13" i="137" s="1"/>
  <c r="BI13" i="137"/>
  <c r="AU50" i="137"/>
  <c r="BA50" i="137" s="1"/>
  <c r="BA12" i="137"/>
  <c r="AZ12" i="137"/>
  <c r="BJ16" i="137"/>
  <c r="BK16" i="137" s="1"/>
  <c r="BI16" i="137"/>
  <c r="BJ25" i="137"/>
  <c r="BK25" i="137" s="1"/>
  <c r="BI25" i="137"/>
  <c r="BJ33" i="137"/>
  <c r="BK33" i="137" s="1"/>
  <c r="BI33" i="137"/>
  <c r="BJ15" i="137"/>
  <c r="BK15" i="137" s="1"/>
  <c r="BI15" i="137"/>
  <c r="BI22" i="137"/>
  <c r="BJ22" i="137"/>
  <c r="BK22" i="137" s="1"/>
  <c r="BI21" i="137"/>
  <c r="BJ21" i="137"/>
  <c r="BK21" i="137" s="1"/>
  <c r="BJ43" i="137"/>
  <c r="BK43" i="137" s="1"/>
  <c r="BI43" i="137"/>
  <c r="BJ48" i="137"/>
  <c r="BK48" i="137" s="1"/>
  <c r="BI48" i="137"/>
  <c r="BI31" i="137"/>
  <c r="BJ31" i="137"/>
  <c r="BK31" i="137" s="1"/>
  <c r="BM31" i="137" s="1"/>
  <c r="BJ29" i="137"/>
  <c r="BK29" i="137" s="1"/>
  <c r="BI29" i="137"/>
  <c r="AW50" i="137"/>
  <c r="BC50" i="137" s="1"/>
  <c r="BC12" i="137"/>
  <c r="BJ49" i="137"/>
  <c r="BK49" i="137" s="1"/>
  <c r="BI49" i="137"/>
  <c r="BI30" i="137"/>
  <c r="BJ30" i="137"/>
  <c r="BK30" i="137" s="1"/>
  <c r="BJ35" i="137"/>
  <c r="BK35" i="137" s="1"/>
  <c r="BI35" i="137"/>
  <c r="BJ27" i="137"/>
  <c r="BK27" i="137" s="1"/>
  <c r="BI27" i="137"/>
  <c r="BJ36" i="137"/>
  <c r="BK36" i="137" s="1"/>
  <c r="BI36" i="137"/>
  <c r="BJ45" i="137"/>
  <c r="BI45" i="137"/>
  <c r="BK45" i="137"/>
  <c r="BM45" i="137" s="1"/>
  <c r="BJ17" i="137"/>
  <c r="BK17" i="137" s="1"/>
  <c r="BI17" i="137"/>
  <c r="BI40" i="137"/>
  <c r="BJ40" i="137"/>
  <c r="BK40" i="137" s="1"/>
  <c r="BJ47" i="137"/>
  <c r="BK47" i="137" s="1"/>
  <c r="BI47" i="137"/>
  <c r="BJ24" i="137"/>
  <c r="BK24" i="137" s="1"/>
  <c r="BI24" i="137"/>
  <c r="BI18" i="137"/>
  <c r="BJ18" i="137"/>
  <c r="BK18" i="137" s="1"/>
  <c r="AX50" i="137"/>
  <c r="BD50" i="137" s="1"/>
  <c r="BD12" i="137"/>
  <c r="BM44" i="137" l="1"/>
  <c r="BM14" i="137"/>
  <c r="BM24" i="137"/>
  <c r="BM43" i="137"/>
  <c r="BM26" i="137"/>
  <c r="BM18" i="137"/>
  <c r="BM42" i="137"/>
  <c r="BM19" i="137"/>
  <c r="BM36" i="137"/>
  <c r="BM40" i="137"/>
  <c r="BM27" i="137"/>
  <c r="BM29" i="137"/>
  <c r="BM47" i="137"/>
  <c r="BM13" i="137"/>
  <c r="BM41" i="137"/>
  <c r="BM30" i="137"/>
  <c r="BM34" i="137"/>
  <c r="BM16" i="137"/>
  <c r="BM39" i="137"/>
  <c r="BM49" i="137"/>
  <c r="BM33" i="137"/>
  <c r="BM23" i="137"/>
  <c r="BM21" i="137"/>
  <c r="BM25" i="137"/>
  <c r="BM46" i="137"/>
  <c r="BM17" i="137"/>
  <c r="BM35" i="137"/>
  <c r="BM22" i="137"/>
  <c r="BM32" i="137"/>
  <c r="BF12" i="137"/>
  <c r="BM48" i="137"/>
  <c r="BM15" i="137"/>
  <c r="BF50" i="137"/>
  <c r="BM38" i="137"/>
  <c r="BI12" i="137" l="1"/>
  <c r="BJ12" i="137"/>
  <c r="BJ50" i="137" s="1"/>
  <c r="BK12" i="137" l="1"/>
  <c r="BK50" i="137" l="1"/>
  <c r="BM6" i="137" s="1"/>
  <c r="BM12" i="137"/>
  <c r="BM50" i="137" l="1"/>
  <c r="BN12" i="137" s="1"/>
  <c r="BO12" i="137" s="1"/>
  <c r="BP12" i="137" l="1"/>
  <c r="BN20" i="137"/>
  <c r="BO20" i="137" s="1"/>
  <c r="BP20" i="137" s="1"/>
  <c r="BN29" i="137"/>
  <c r="BO29" i="137" s="1"/>
  <c r="BP29" i="137" s="1"/>
  <c r="BN36" i="137"/>
  <c r="BO36" i="137" s="1"/>
  <c r="BP36" i="137" s="1"/>
  <c r="BN34" i="137"/>
  <c r="BO34" i="137" s="1"/>
  <c r="BP34" i="137" s="1"/>
  <c r="BN37" i="137"/>
  <c r="BO37" i="137" s="1"/>
  <c r="BP37" i="137" s="1"/>
  <c r="BN40" i="137"/>
  <c r="BO40" i="137" s="1"/>
  <c r="BP40" i="137" s="1"/>
  <c r="BN25" i="137"/>
  <c r="BO25" i="137" s="1"/>
  <c r="BP25" i="137" s="1"/>
  <c r="BN13" i="137"/>
  <c r="BO13" i="137" s="1"/>
  <c r="BP13" i="137" s="1"/>
  <c r="BN44" i="137"/>
  <c r="BO44" i="137" s="1"/>
  <c r="BP44" i="137" s="1"/>
  <c r="BN47" i="137"/>
  <c r="BO47" i="137" s="1"/>
  <c r="BP47" i="137" s="1"/>
  <c r="BN19" i="137"/>
  <c r="BO19" i="137" s="1"/>
  <c r="BP19" i="137" s="1"/>
  <c r="BN16" i="137"/>
  <c r="BO16" i="137" s="1"/>
  <c r="BP16" i="137" s="1"/>
  <c r="BN46" i="137"/>
  <c r="BO46" i="137" s="1"/>
  <c r="BP46" i="137" s="1"/>
  <c r="BN41" i="137"/>
  <c r="BO41" i="137" s="1"/>
  <c r="BP41" i="137" s="1"/>
  <c r="BN43" i="137"/>
  <c r="BO43" i="137" s="1"/>
  <c r="BP43" i="137" s="1"/>
  <c r="BN14" i="137"/>
  <c r="BO14" i="137" s="1"/>
  <c r="BP14" i="137" s="1"/>
  <c r="BN45" i="137"/>
  <c r="BO45" i="137" s="1"/>
  <c r="BP45" i="137" s="1"/>
  <c r="BN30" i="137"/>
  <c r="BO30" i="137" s="1"/>
  <c r="BP30" i="137" s="1"/>
  <c r="BN39" i="137"/>
  <c r="BO39" i="137" s="1"/>
  <c r="BP39" i="137" s="1"/>
  <c r="BN33" i="137"/>
  <c r="BO33" i="137" s="1"/>
  <c r="BP33" i="137" s="1"/>
  <c r="BN18" i="137"/>
  <c r="BO18" i="137" s="1"/>
  <c r="BP18" i="137" s="1"/>
  <c r="BN21" i="137"/>
  <c r="BO21" i="137" s="1"/>
  <c r="BP21" i="137" s="1"/>
  <c r="BN28" i="137"/>
  <c r="BO28" i="137" s="1"/>
  <c r="BP28" i="137" s="1"/>
  <c r="BN26" i="137"/>
  <c r="BO26" i="137" s="1"/>
  <c r="BP26" i="137" s="1"/>
  <c r="BN24" i="137"/>
  <c r="BO24" i="137" s="1"/>
  <c r="BP24" i="137" s="1"/>
  <c r="BN23" i="137"/>
  <c r="BO23" i="137" s="1"/>
  <c r="BP23" i="137" s="1"/>
  <c r="BN42" i="137"/>
  <c r="BO42" i="137" s="1"/>
  <c r="BP42" i="137" s="1"/>
  <c r="BN27" i="137"/>
  <c r="BO27" i="137" s="1"/>
  <c r="BP27" i="137" s="1"/>
  <c r="BN49" i="137"/>
  <c r="BO49" i="137" s="1"/>
  <c r="BP49" i="137" s="1"/>
  <c r="BN31" i="137"/>
  <c r="BO31" i="137" s="1"/>
  <c r="BP31" i="137" s="1"/>
  <c r="BN48" i="137"/>
  <c r="BO48" i="137" s="1"/>
  <c r="BP48" i="137" s="1"/>
  <c r="BN15" i="137"/>
  <c r="BO15" i="137" s="1"/>
  <c r="BP15" i="137" s="1"/>
  <c r="BN35" i="137"/>
  <c r="BO35" i="137" s="1"/>
  <c r="BP35" i="137" s="1"/>
  <c r="BN17" i="137"/>
  <c r="BO17" i="137" s="1"/>
  <c r="BP17" i="137" s="1"/>
  <c r="BN38" i="137"/>
  <c r="BO38" i="137" s="1"/>
  <c r="BP38" i="137" s="1"/>
  <c r="BN32" i="137"/>
  <c r="BO32" i="137" s="1"/>
  <c r="BP32" i="137" s="1"/>
  <c r="BN22" i="137"/>
  <c r="BO22" i="137" s="1"/>
  <c r="BP22" i="137" s="1"/>
  <c r="BR17" i="137" l="1"/>
  <c r="BQ17" i="137"/>
  <c r="BV17" i="137"/>
  <c r="BW17" i="137" s="1"/>
  <c r="BU17" i="137"/>
  <c r="BQ39" i="137"/>
  <c r="BR39" i="137"/>
  <c r="BU39" i="137"/>
  <c r="BV39" i="137"/>
  <c r="BW39" i="137" s="1"/>
  <c r="BY39" i="137" s="1"/>
  <c r="BU25" i="137"/>
  <c r="BV25" i="137"/>
  <c r="BW25" i="137" s="1"/>
  <c r="BY25" i="137" s="1"/>
  <c r="BR25" i="137"/>
  <c r="BQ25" i="137"/>
  <c r="BR44" i="137"/>
  <c r="BQ44" i="137"/>
  <c r="BU44" i="137"/>
  <c r="BV44" i="137"/>
  <c r="BW44" i="137" s="1"/>
  <c r="BV48" i="137"/>
  <c r="BW48" i="137" s="1"/>
  <c r="BU48" i="137"/>
  <c r="BR48" i="137"/>
  <c r="BQ48" i="137"/>
  <c r="BR31" i="137"/>
  <c r="BQ31" i="137"/>
  <c r="BV31" i="137"/>
  <c r="BW31" i="137" s="1"/>
  <c r="BU31" i="137"/>
  <c r="BQ30" i="137"/>
  <c r="BV30" i="137"/>
  <c r="BW30" i="137" s="1"/>
  <c r="BU30" i="137"/>
  <c r="BR30" i="137"/>
  <c r="BV40" i="137"/>
  <c r="BW40" i="137" s="1"/>
  <c r="BU40" i="137"/>
  <c r="BR40" i="137"/>
  <c r="BQ40" i="137"/>
  <c r="BV33" i="137"/>
  <c r="BW33" i="137" s="1"/>
  <c r="BR33" i="137"/>
  <c r="BQ33" i="137"/>
  <c r="BU33" i="137"/>
  <c r="BV49" i="137"/>
  <c r="BW49" i="137" s="1"/>
  <c r="BR49" i="137"/>
  <c r="BQ49" i="137"/>
  <c r="BU49" i="137"/>
  <c r="BV45" i="137"/>
  <c r="BW45" i="137" s="1"/>
  <c r="BU45" i="137"/>
  <c r="BR45" i="137"/>
  <c r="BQ45" i="137"/>
  <c r="BR37" i="137"/>
  <c r="BQ37" i="137"/>
  <c r="BV37" i="137"/>
  <c r="BW37" i="137" s="1"/>
  <c r="BU37" i="137"/>
  <c r="BV27" i="137"/>
  <c r="BW27" i="137" s="1"/>
  <c r="BU27" i="137"/>
  <c r="BR27" i="137"/>
  <c r="BQ27" i="137"/>
  <c r="BQ14" i="137"/>
  <c r="BU14" i="137"/>
  <c r="BV14" i="137"/>
  <c r="BW14" i="137" s="1"/>
  <c r="BR14" i="137"/>
  <c r="BV34" i="137"/>
  <c r="BW34" i="137" s="1"/>
  <c r="BR34" i="137"/>
  <c r="BQ34" i="137"/>
  <c r="BU34" i="137"/>
  <c r="BV35" i="137"/>
  <c r="BW35" i="137" s="1"/>
  <c r="BU35" i="137"/>
  <c r="BR35" i="137"/>
  <c r="BQ35" i="137"/>
  <c r="BU42" i="137"/>
  <c r="BR42" i="137"/>
  <c r="BV42" i="137"/>
  <c r="BW42" i="137" s="1"/>
  <c r="BQ42" i="137"/>
  <c r="BR43" i="137"/>
  <c r="BQ43" i="137"/>
  <c r="BV43" i="137"/>
  <c r="BU43" i="137"/>
  <c r="BW43" i="137"/>
  <c r="BY43" i="137" s="1"/>
  <c r="BV36" i="137"/>
  <c r="BW36" i="137" s="1"/>
  <c r="BU36" i="137"/>
  <c r="BR36" i="137"/>
  <c r="BQ36" i="137"/>
  <c r="BR23" i="137"/>
  <c r="BQ23" i="137"/>
  <c r="BV23" i="137"/>
  <c r="BW23" i="137" s="1"/>
  <c r="BU23" i="137"/>
  <c r="BR41" i="137"/>
  <c r="BQ41" i="137"/>
  <c r="BV41" i="137"/>
  <c r="BW41" i="137" s="1"/>
  <c r="BU41" i="137"/>
  <c r="BV29" i="137"/>
  <c r="BW29" i="137" s="1"/>
  <c r="BQ29" i="137"/>
  <c r="BU29" i="137"/>
  <c r="BR29" i="137"/>
  <c r="BU21" i="137"/>
  <c r="BV21" i="137"/>
  <c r="BW21" i="137" s="1"/>
  <c r="BY21" i="137" s="1"/>
  <c r="BR21" i="137"/>
  <c r="BQ21" i="137"/>
  <c r="BV15" i="137"/>
  <c r="BW15" i="137" s="1"/>
  <c r="BU15" i="137"/>
  <c r="BR15" i="137"/>
  <c r="BQ15" i="137"/>
  <c r="BV22" i="137"/>
  <c r="BW22" i="137" s="1"/>
  <c r="BU22" i="137"/>
  <c r="BR22" i="137"/>
  <c r="BQ22" i="137"/>
  <c r="BU24" i="137"/>
  <c r="BR24" i="137"/>
  <c r="BQ24" i="137"/>
  <c r="BV24" i="137"/>
  <c r="BW24" i="137" s="1"/>
  <c r="BQ46" i="137"/>
  <c r="BV46" i="137"/>
  <c r="BW46" i="137" s="1"/>
  <c r="BU46" i="137"/>
  <c r="BR46" i="137"/>
  <c r="BV20" i="137"/>
  <c r="BW20" i="137" s="1"/>
  <c r="BU20" i="137"/>
  <c r="BR20" i="137"/>
  <c r="BQ20" i="137"/>
  <c r="BQ18" i="137"/>
  <c r="BV18" i="137"/>
  <c r="BW18" i="137" s="1"/>
  <c r="BU18" i="137"/>
  <c r="BR18" i="137"/>
  <c r="BR32" i="137"/>
  <c r="BQ32" i="137"/>
  <c r="BU32" i="137"/>
  <c r="BV32" i="137"/>
  <c r="BW32" i="137" s="1"/>
  <c r="BV26" i="137"/>
  <c r="BW26" i="137" s="1"/>
  <c r="BU26" i="137"/>
  <c r="BR26" i="137"/>
  <c r="BQ26" i="137"/>
  <c r="BQ16" i="137"/>
  <c r="BV16" i="137"/>
  <c r="BW16" i="137" s="1"/>
  <c r="BR16" i="137"/>
  <c r="BU16" i="137"/>
  <c r="BP50" i="137"/>
  <c r="BV12" i="137"/>
  <c r="BW12" i="137" s="1"/>
  <c r="BR12" i="137"/>
  <c r="BQ12" i="137"/>
  <c r="BU12" i="137"/>
  <c r="BV47" i="137"/>
  <c r="BW47" i="137" s="1"/>
  <c r="BU47" i="137"/>
  <c r="BR47" i="137"/>
  <c r="BQ47" i="137"/>
  <c r="BV13" i="137"/>
  <c r="BW13" i="137" s="1"/>
  <c r="BR13" i="137"/>
  <c r="BQ13" i="137"/>
  <c r="BU13" i="137"/>
  <c r="BV38" i="137"/>
  <c r="BW38" i="137" s="1"/>
  <c r="BU38" i="137"/>
  <c r="BQ38" i="137"/>
  <c r="BR38" i="137"/>
  <c r="BV28" i="137"/>
  <c r="BW28" i="137" s="1"/>
  <c r="BR28" i="137"/>
  <c r="BU28" i="137"/>
  <c r="BQ28" i="137"/>
  <c r="BV19" i="137"/>
  <c r="BW19" i="137" s="1"/>
  <c r="BU19" i="137"/>
  <c r="BR19" i="137"/>
  <c r="BQ19" i="137"/>
  <c r="BO50" i="137"/>
  <c r="BY37" i="137" l="1"/>
  <c r="BY35" i="137"/>
  <c r="BY32" i="137"/>
  <c r="BY44" i="137"/>
  <c r="BY22" i="137"/>
  <c r="BY29" i="137"/>
  <c r="BY45" i="137"/>
  <c r="BY36" i="137"/>
  <c r="BY40" i="137"/>
  <c r="BY28" i="137"/>
  <c r="BY41" i="137"/>
  <c r="BY12" i="137"/>
  <c r="BY48" i="137"/>
  <c r="BY38" i="137"/>
  <c r="BY46" i="137"/>
  <c r="BY24" i="137"/>
  <c r="BY19" i="137"/>
  <c r="BY15" i="137"/>
  <c r="BY13" i="137"/>
  <c r="BY49" i="137"/>
  <c r="BY16" i="137"/>
  <c r="BY42" i="137"/>
  <c r="BY27" i="137"/>
  <c r="BY18" i="137"/>
  <c r="BY23" i="137"/>
  <c r="BY34" i="137"/>
  <c r="BY17" i="137"/>
  <c r="BY47" i="137"/>
  <c r="BY33" i="137"/>
  <c r="BY31" i="137"/>
  <c r="BY26" i="137"/>
  <c r="BY20" i="137"/>
  <c r="BY14" i="137"/>
  <c r="BY30" i="137"/>
  <c r="BR50" i="137"/>
  <c r="BV50" i="137"/>
  <c r="BW50" i="137" s="1"/>
  <c r="BZ6" i="137" s="1"/>
  <c r="BY50" i="137" l="1"/>
  <c r="BZ37" i="137" s="1"/>
  <c r="CA37" i="137" s="1"/>
  <c r="CB37" i="137" s="1"/>
  <c r="BZ22" i="137" l="1"/>
  <c r="CA22" i="137" s="1"/>
  <c r="CB22" i="137" s="1"/>
  <c r="BZ18" i="137"/>
  <c r="CA18" i="137" s="1"/>
  <c r="CB18" i="137" s="1"/>
  <c r="CG18" i="137" s="1"/>
  <c r="CH18" i="137" s="1"/>
  <c r="BZ14" i="137"/>
  <c r="CA14" i="137" s="1"/>
  <c r="CB14" i="137" s="1"/>
  <c r="BZ35" i="137"/>
  <c r="CA35" i="137" s="1"/>
  <c r="CB35" i="137" s="1"/>
  <c r="BZ29" i="137"/>
  <c r="CA29" i="137" s="1"/>
  <c r="CB29" i="137" s="1"/>
  <c r="CG29" i="137" s="1"/>
  <c r="CH29" i="137" s="1"/>
  <c r="AQ40" i="129" s="1"/>
  <c r="BZ32" i="137"/>
  <c r="CA32" i="137" s="1"/>
  <c r="CB32" i="137" s="1"/>
  <c r="CC32" i="137" s="1"/>
  <c r="CD32" i="137" s="1"/>
  <c r="BZ21" i="137"/>
  <c r="CA21" i="137" s="1"/>
  <c r="CB21" i="137" s="1"/>
  <c r="CG21" i="137" s="1"/>
  <c r="CH21" i="137" s="1"/>
  <c r="AQ42" i="129" s="1"/>
  <c r="BZ46" i="137"/>
  <c r="CA46" i="137" s="1"/>
  <c r="CB46" i="137" s="1"/>
  <c r="CC46" i="137" s="1"/>
  <c r="CD46" i="137" s="1"/>
  <c r="BZ50" i="137"/>
  <c r="CA50" i="137" s="1"/>
  <c r="CB50" i="137" s="1"/>
  <c r="CC50" i="137" s="1"/>
  <c r="BZ44" i="137"/>
  <c r="CA44" i="137" s="1"/>
  <c r="CB44" i="137" s="1"/>
  <c r="BZ25" i="137"/>
  <c r="CA25" i="137" s="1"/>
  <c r="CB25" i="137" s="1"/>
  <c r="CC25" i="137" s="1"/>
  <c r="CD25" i="137" s="1"/>
  <c r="BZ43" i="137"/>
  <c r="CA43" i="137" s="1"/>
  <c r="CB43" i="137" s="1"/>
  <c r="CG43" i="137" s="1"/>
  <c r="CH43" i="137" s="1"/>
  <c r="AQ30" i="134" s="1"/>
  <c r="BZ31" i="137"/>
  <c r="CA31" i="137" s="1"/>
  <c r="CB31" i="137" s="1"/>
  <c r="CG31" i="137" s="1"/>
  <c r="CH31" i="137" s="1"/>
  <c r="AQ36" i="129" s="1"/>
  <c r="BZ28" i="137"/>
  <c r="CA28" i="137" s="1"/>
  <c r="CB28" i="137" s="1"/>
  <c r="CC28" i="137" s="1"/>
  <c r="CD28" i="137" s="1"/>
  <c r="BZ12" i="137"/>
  <c r="CA12" i="137" s="1"/>
  <c r="CB12" i="137" s="1"/>
  <c r="BZ26" i="137"/>
  <c r="CA26" i="137" s="1"/>
  <c r="CB26" i="137" s="1"/>
  <c r="CC26" i="137" s="1"/>
  <c r="CD26" i="137" s="1"/>
  <c r="BZ19" i="137"/>
  <c r="CA19" i="137" s="1"/>
  <c r="CB19" i="137" s="1"/>
  <c r="CC19" i="137" s="1"/>
  <c r="CD19" i="137" s="1"/>
  <c r="BZ15" i="137"/>
  <c r="CA15" i="137" s="1"/>
  <c r="CB15" i="137" s="1"/>
  <c r="CG15" i="137" s="1"/>
  <c r="CH15" i="137" s="1"/>
  <c r="AM50" i="135" s="1"/>
  <c r="BZ20" i="137"/>
  <c r="CA20" i="137" s="1"/>
  <c r="CB20" i="137" s="1"/>
  <c r="CC20" i="137" s="1"/>
  <c r="CD20" i="137" s="1"/>
  <c r="BZ24" i="137"/>
  <c r="CA24" i="137" s="1"/>
  <c r="CB24" i="137" s="1"/>
  <c r="CC24" i="137" s="1"/>
  <c r="CD24" i="137" s="1"/>
  <c r="BZ27" i="137"/>
  <c r="CA27" i="137" s="1"/>
  <c r="CB27" i="137" s="1"/>
  <c r="CG27" i="137" s="1"/>
  <c r="CH27" i="137" s="1"/>
  <c r="AQ37" i="134" s="1"/>
  <c r="BZ13" i="137"/>
  <c r="CA13" i="137" s="1"/>
  <c r="CB13" i="137" s="1"/>
  <c r="CC13" i="137" s="1"/>
  <c r="CD13" i="137" s="1"/>
  <c r="BZ16" i="137"/>
  <c r="CA16" i="137" s="1"/>
  <c r="CB16" i="137" s="1"/>
  <c r="CG16" i="137" s="1"/>
  <c r="CH16" i="137" s="1"/>
  <c r="AM51" i="135" s="1"/>
  <c r="BZ34" i="137"/>
  <c r="CA34" i="137" s="1"/>
  <c r="CB34" i="137" s="1"/>
  <c r="CC34" i="137" s="1"/>
  <c r="CD34" i="137" s="1"/>
  <c r="BZ36" i="137"/>
  <c r="CA36" i="137" s="1"/>
  <c r="CB36" i="137" s="1"/>
  <c r="CG36" i="137" s="1"/>
  <c r="BZ48" i="137"/>
  <c r="CA48" i="137" s="1"/>
  <c r="CB48" i="137" s="1"/>
  <c r="CC48" i="137" s="1"/>
  <c r="CD48" i="137" s="1"/>
  <c r="BZ41" i="137"/>
  <c r="CA41" i="137" s="1"/>
  <c r="CB41" i="137" s="1"/>
  <c r="CG41" i="137" s="1"/>
  <c r="CH41" i="137" s="1"/>
  <c r="AQ38" i="134" s="1"/>
  <c r="BZ39" i="137"/>
  <c r="CA39" i="137" s="1"/>
  <c r="CB39" i="137" s="1"/>
  <c r="CC39" i="137" s="1"/>
  <c r="CD39" i="137" s="1"/>
  <c r="BZ42" i="137"/>
  <c r="CA42" i="137" s="1"/>
  <c r="CB42" i="137" s="1"/>
  <c r="BZ45" i="137"/>
  <c r="CA45" i="137" s="1"/>
  <c r="CB45" i="137" s="1"/>
  <c r="CC45" i="137" s="1"/>
  <c r="CD45" i="137" s="1"/>
  <c r="BZ38" i="137"/>
  <c r="CA38" i="137" s="1"/>
  <c r="CB38" i="137" s="1"/>
  <c r="CC38" i="137" s="1"/>
  <c r="CD38" i="137" s="1"/>
  <c r="BZ17" i="137"/>
  <c r="CA17" i="137" s="1"/>
  <c r="CB17" i="137" s="1"/>
  <c r="CG17" i="137" s="1"/>
  <c r="BZ49" i="137"/>
  <c r="CA49" i="137" s="1"/>
  <c r="CB49" i="137" s="1"/>
  <c r="CC49" i="137" s="1"/>
  <c r="CD49" i="137" s="1"/>
  <c r="BZ23" i="137"/>
  <c r="CA23" i="137" s="1"/>
  <c r="CB23" i="137" s="1"/>
  <c r="CG23" i="137" s="1"/>
  <c r="CH23" i="137" s="1"/>
  <c r="AM41" i="135" s="1"/>
  <c r="BZ47" i="137"/>
  <c r="CA47" i="137" s="1"/>
  <c r="CB47" i="137" s="1"/>
  <c r="CC47" i="137" s="1"/>
  <c r="CD47" i="137" s="1"/>
  <c r="BZ40" i="137"/>
  <c r="CA40" i="137" s="1"/>
  <c r="CB40" i="137" s="1"/>
  <c r="CC40" i="137" s="1"/>
  <c r="CD40" i="137" s="1"/>
  <c r="BZ30" i="137"/>
  <c r="CA30" i="137" s="1"/>
  <c r="CB30" i="137" s="1"/>
  <c r="CC30" i="137" s="1"/>
  <c r="CD30" i="137" s="1"/>
  <c r="BZ33" i="137"/>
  <c r="CA33" i="137" s="1"/>
  <c r="CB33" i="137" s="1"/>
  <c r="CG33" i="137" s="1"/>
  <c r="CH33" i="137" s="1"/>
  <c r="AQ39" i="129" s="1"/>
  <c r="CC35" i="137"/>
  <c r="CD35" i="137" s="1"/>
  <c r="CG35" i="137"/>
  <c r="CH35" i="137" s="1"/>
  <c r="AQ43" i="129" s="1"/>
  <c r="CG32" i="137"/>
  <c r="CH32" i="137" s="1"/>
  <c r="AQ38" i="129" s="1"/>
  <c r="CG12" i="137"/>
  <c r="CH12" i="137" s="1"/>
  <c r="AM49" i="135" s="1"/>
  <c r="CC12" i="137"/>
  <c r="CD12" i="137" s="1"/>
  <c r="CC29" i="137"/>
  <c r="CD29" i="137" s="1"/>
  <c r="CC22" i="137"/>
  <c r="CD22" i="137" s="1"/>
  <c r="CG22" i="137"/>
  <c r="CG37" i="137"/>
  <c r="CH37" i="137" s="1"/>
  <c r="CC37" i="137"/>
  <c r="CD37" i="137" s="1"/>
  <c r="CC14" i="137"/>
  <c r="CD14" i="137" s="1"/>
  <c r="CG14" i="137"/>
  <c r="CH14" i="137" s="1"/>
  <c r="AM60" i="135" s="1"/>
  <c r="CG26" i="137" l="1"/>
  <c r="CH26" i="137" s="1"/>
  <c r="AM45" i="135" s="1"/>
  <c r="CH22" i="137"/>
  <c r="AM53" i="135" s="1"/>
  <c r="CG28" i="137"/>
  <c r="CH28" i="137" s="1"/>
  <c r="AM46" i="135" s="1"/>
  <c r="CC18" i="137"/>
  <c r="CD18" i="137" s="1"/>
  <c r="CG48" i="137"/>
  <c r="CH48" i="137" s="1"/>
  <c r="CC21" i="137"/>
  <c r="CD21" i="137" s="1"/>
  <c r="CG25" i="137"/>
  <c r="CH25" i="137" s="1"/>
  <c r="CC16" i="137"/>
  <c r="CD16" i="137" s="1"/>
  <c r="CG40" i="137"/>
  <c r="CH40" i="137" s="1"/>
  <c r="AM48" i="135" s="1"/>
  <c r="CC15" i="137"/>
  <c r="CD15" i="137" s="1"/>
  <c r="CG46" i="137"/>
  <c r="CH46" i="137" s="1"/>
  <c r="CG47" i="137"/>
  <c r="CH47" i="137" s="1"/>
  <c r="CM47" i="137" s="1"/>
  <c r="CN47" i="137" s="1"/>
  <c r="CG34" i="137"/>
  <c r="CH34" i="137" s="1"/>
  <c r="AQ45" i="129" s="1"/>
  <c r="CC23" i="137"/>
  <c r="CD23" i="137" s="1"/>
  <c r="CG49" i="137"/>
  <c r="CH49" i="137" s="1"/>
  <c r="CI49" i="137" s="1"/>
  <c r="CG19" i="137"/>
  <c r="CH19" i="137" s="1"/>
  <c r="CG44" i="137"/>
  <c r="CH44" i="137" s="1"/>
  <c r="AM58" i="135" s="1"/>
  <c r="CG13" i="137"/>
  <c r="CH13" i="137" s="1"/>
  <c r="CC44" i="137"/>
  <c r="CD44" i="137" s="1"/>
  <c r="CG45" i="137"/>
  <c r="CH45" i="137" s="1"/>
  <c r="CI45" i="137" s="1"/>
  <c r="CC27" i="137"/>
  <c r="CD27" i="137" s="1"/>
  <c r="CC31" i="137"/>
  <c r="CD31" i="137" s="1"/>
  <c r="CG30" i="137"/>
  <c r="CH30" i="137" s="1"/>
  <c r="AQ37" i="129" s="1"/>
  <c r="CC41" i="137"/>
  <c r="CD41" i="137" s="1"/>
  <c r="CG24" i="137"/>
  <c r="CH24" i="137" s="1"/>
  <c r="CH36" i="137"/>
  <c r="AQ41" i="129" s="1"/>
  <c r="CH17" i="137"/>
  <c r="CG20" i="137"/>
  <c r="CH20" i="137" s="1"/>
  <c r="CC42" i="137"/>
  <c r="CD42" i="137" s="1"/>
  <c r="CG38" i="137"/>
  <c r="CH38" i="137" s="1"/>
  <c r="AM57" i="135" s="1"/>
  <c r="CG39" i="137"/>
  <c r="CH39" i="137" s="1"/>
  <c r="AQ44" i="129" s="1"/>
  <c r="CG42" i="137"/>
  <c r="CH42" i="137" s="1"/>
  <c r="AQ35" i="134" s="1"/>
  <c r="CC43" i="137"/>
  <c r="CD43" i="137" s="1"/>
  <c r="CC36" i="137"/>
  <c r="CD36" i="137" s="1"/>
  <c r="CC17" i="137"/>
  <c r="CD17" i="137" s="1"/>
  <c r="CC33" i="137"/>
  <c r="CD33" i="137" s="1"/>
  <c r="CM41" i="137"/>
  <c r="CN41" i="137" s="1"/>
  <c r="CI41" i="137"/>
  <c r="CM27" i="137"/>
  <c r="CN27" i="137" s="1"/>
  <c r="CI27" i="137"/>
  <c r="CM35" i="137"/>
  <c r="CN35" i="137" s="1"/>
  <c r="CI35" i="137"/>
  <c r="CM46" i="137"/>
  <c r="CN46" i="137" s="1"/>
  <c r="CI46" i="137"/>
  <c r="CM43" i="137"/>
  <c r="CN43" i="137" s="1"/>
  <c r="CI43" i="137"/>
  <c r="CI31" i="137"/>
  <c r="CM31" i="137"/>
  <c r="CN31" i="137" s="1"/>
  <c r="CM18" i="137"/>
  <c r="CN18" i="137" s="1"/>
  <c r="CI18" i="137"/>
  <c r="CM26" i="137"/>
  <c r="CN26" i="137" s="1"/>
  <c r="CI26" i="137"/>
  <c r="CM48" i="137"/>
  <c r="CN48" i="137" s="1"/>
  <c r="CI48" i="137"/>
  <c r="CM23" i="137"/>
  <c r="CN23" i="137" s="1"/>
  <c r="CI23" i="137"/>
  <c r="CM37" i="137"/>
  <c r="CN37" i="137" s="1"/>
  <c r="CI37" i="137"/>
  <c r="CI21" i="137"/>
  <c r="CM21" i="137"/>
  <c r="CN21" i="137" s="1"/>
  <c r="CM29" i="137"/>
  <c r="CN29" i="137" s="1"/>
  <c r="CI29" i="137"/>
  <c r="CM15" i="137"/>
  <c r="CN15" i="137" s="1"/>
  <c r="CI15" i="137"/>
  <c r="CM49" i="137"/>
  <c r="CN49" i="137" s="1"/>
  <c r="CM40" i="137"/>
  <c r="CN40" i="137" s="1"/>
  <c r="CM33" i="137"/>
  <c r="CN33" i="137" s="1"/>
  <c r="CI33" i="137"/>
  <c r="CM28" i="137"/>
  <c r="CN28" i="137" s="1"/>
  <c r="CI28" i="137"/>
  <c r="CM16" i="137"/>
  <c r="CN16" i="137" s="1"/>
  <c r="CI16" i="137"/>
  <c r="CI32" i="137"/>
  <c r="CM32" i="137"/>
  <c r="CN32" i="137" s="1"/>
  <c r="CM14" i="137"/>
  <c r="CN14" i="137" s="1"/>
  <c r="CI14" i="137"/>
  <c r="CM22" i="137"/>
  <c r="CN22" i="137" s="1"/>
  <c r="CI22" i="137"/>
  <c r="CM12" i="137"/>
  <c r="CI12" i="137"/>
  <c r="CI40" i="137" l="1"/>
  <c r="CI47" i="137"/>
  <c r="CI25" i="137"/>
  <c r="AM47" i="135"/>
  <c r="CM20" i="137"/>
  <c r="CN20" i="137" s="1"/>
  <c r="AM42" i="135"/>
  <c r="CM19" i="137"/>
  <c r="CN19" i="137" s="1"/>
  <c r="AM56" i="135"/>
  <c r="CM45" i="137"/>
  <c r="CN45" i="137" s="1"/>
  <c r="CM25" i="137"/>
  <c r="CN25" i="137" s="1"/>
  <c r="CI36" i="137"/>
  <c r="CI34" i="137"/>
  <c r="CI19" i="137"/>
  <c r="CM17" i="137"/>
  <c r="CN17" i="137" s="1"/>
  <c r="AQ34" i="134"/>
  <c r="CM13" i="137"/>
  <c r="CN13" i="137" s="1"/>
  <c r="AQ32" i="134"/>
  <c r="CI20" i="137"/>
  <c r="CI24" i="137"/>
  <c r="AQ36" i="134"/>
  <c r="CI30" i="137"/>
  <c r="CI17" i="137"/>
  <c r="CM34" i="137"/>
  <c r="CN34" i="137" s="1"/>
  <c r="CM30" i="137"/>
  <c r="CN30" i="137" s="1"/>
  <c r="CM44" i="137"/>
  <c r="CN44" i="137" s="1"/>
  <c r="CI44" i="137"/>
  <c r="CI39" i="137"/>
  <c r="AQ46" i="129"/>
  <c r="AQ64" i="129"/>
  <c r="CI13" i="137"/>
  <c r="CD50" i="137"/>
  <c r="CM36" i="137"/>
  <c r="CN36" i="137" s="1"/>
  <c r="CI42" i="137"/>
  <c r="CM42" i="137"/>
  <c r="CN42" i="137" s="1"/>
  <c r="CI38" i="137"/>
  <c r="CM38" i="137"/>
  <c r="CN38" i="137" s="1"/>
  <c r="CH50" i="137"/>
  <c r="CG50" i="137"/>
  <c r="CM39" i="137"/>
  <c r="CN39" i="137" s="1"/>
  <c r="CM24" i="137"/>
  <c r="CN24" i="137" s="1"/>
  <c r="CN12" i="137"/>
  <c r="AM61" i="135" l="1"/>
  <c r="CI50" i="137"/>
  <c r="AQ39" i="134"/>
  <c r="CM50" i="137"/>
  <c r="CN50" i="137"/>
  <c r="AF42" i="134" l="1"/>
  <c r="AC92" i="135"/>
  <c r="AC64" i="135"/>
  <c r="AF59" i="134"/>
  <c r="AF67" i="129"/>
  <c r="AF49" i="129"/>
  <c r="U88" i="135"/>
  <c r="T88" i="135"/>
  <c r="U87" i="135"/>
  <c r="T87" i="135"/>
  <c r="U86" i="135"/>
  <c r="T86" i="135"/>
  <c r="U85" i="135"/>
  <c r="T85" i="135"/>
  <c r="U84" i="135"/>
  <c r="T84" i="135"/>
  <c r="U83" i="135"/>
  <c r="T83" i="135"/>
  <c r="U82" i="135"/>
  <c r="T82" i="135"/>
  <c r="U81" i="135"/>
  <c r="T81" i="135"/>
  <c r="W81" i="135" s="1"/>
  <c r="U80" i="135"/>
  <c r="T80" i="135"/>
  <c r="U79" i="135"/>
  <c r="T79" i="135"/>
  <c r="Y79" i="135" s="1"/>
  <c r="U78" i="135"/>
  <c r="T78" i="135"/>
  <c r="W78" i="135"/>
  <c r="U77" i="135"/>
  <c r="T77" i="135"/>
  <c r="U76" i="135"/>
  <c r="T76" i="135"/>
  <c r="Y76" i="135"/>
  <c r="U75" i="135"/>
  <c r="T75" i="135"/>
  <c r="W75" i="135" s="1"/>
  <c r="U74" i="135"/>
  <c r="T74" i="135"/>
  <c r="U73" i="135"/>
  <c r="T73" i="135"/>
  <c r="U72" i="135"/>
  <c r="T72" i="135"/>
  <c r="W72" i="135" s="1"/>
  <c r="U71" i="135"/>
  <c r="T71" i="135"/>
  <c r="U70" i="135"/>
  <c r="T70" i="135"/>
  <c r="Y70" i="135" s="1"/>
  <c r="U69" i="135"/>
  <c r="T69" i="135"/>
  <c r="U60" i="135"/>
  <c r="T60" i="135"/>
  <c r="U59" i="135"/>
  <c r="T59" i="135"/>
  <c r="U58" i="135"/>
  <c r="T58" i="135"/>
  <c r="U57" i="135"/>
  <c r="T57" i="135"/>
  <c r="U56" i="135"/>
  <c r="T56" i="135"/>
  <c r="U55" i="135"/>
  <c r="T55" i="135"/>
  <c r="U54" i="135"/>
  <c r="T54" i="135"/>
  <c r="W54" i="135" s="1"/>
  <c r="U53" i="135"/>
  <c r="T53" i="135"/>
  <c r="U52" i="135"/>
  <c r="T52" i="135"/>
  <c r="U51" i="135"/>
  <c r="T51" i="135"/>
  <c r="W51" i="135"/>
  <c r="U50" i="135"/>
  <c r="T50" i="135"/>
  <c r="U49" i="135"/>
  <c r="T49" i="135"/>
  <c r="U48" i="135"/>
  <c r="T48" i="135"/>
  <c r="U47" i="135"/>
  <c r="T47" i="135"/>
  <c r="U46" i="135"/>
  <c r="T46" i="135"/>
  <c r="U45" i="135"/>
  <c r="T45" i="135"/>
  <c r="U44" i="135"/>
  <c r="T44" i="135"/>
  <c r="U43" i="135"/>
  <c r="T43" i="135"/>
  <c r="U42" i="135"/>
  <c r="T42" i="135"/>
  <c r="W42" i="135" s="1"/>
  <c r="U41" i="135"/>
  <c r="T41" i="135"/>
  <c r="V63" i="129"/>
  <c r="V62" i="129"/>
  <c r="V61" i="129"/>
  <c r="V60" i="129"/>
  <c r="V59" i="129"/>
  <c r="V58" i="129"/>
  <c r="V57" i="129"/>
  <c r="V56" i="129"/>
  <c r="V55" i="129"/>
  <c r="V54" i="129"/>
  <c r="V37" i="129"/>
  <c r="V38" i="129"/>
  <c r="V39" i="129"/>
  <c r="V40" i="129"/>
  <c r="V41" i="129"/>
  <c r="V42" i="129"/>
  <c r="V43" i="129"/>
  <c r="V44" i="129"/>
  <c r="V45" i="129"/>
  <c r="V36" i="129"/>
  <c r="V16" i="129"/>
  <c r="V17" i="129"/>
  <c r="V18" i="129"/>
  <c r="V19" i="129"/>
  <c r="V20" i="129"/>
  <c r="V21" i="129"/>
  <c r="V23" i="129"/>
  <c r="V24" i="129"/>
  <c r="V15" i="129"/>
  <c r="U55" i="134"/>
  <c r="T55" i="134"/>
  <c r="U54" i="134"/>
  <c r="AC54" i="134" s="1"/>
  <c r="T54" i="134"/>
  <c r="AD54" i="134" s="1"/>
  <c r="U53" i="134"/>
  <c r="AC53" i="134" s="1"/>
  <c r="T53" i="134"/>
  <c r="AD53" i="134" s="1"/>
  <c r="U52" i="134"/>
  <c r="AC52" i="134" s="1"/>
  <c r="T52" i="134"/>
  <c r="AD52" i="134" s="1"/>
  <c r="U51" i="134"/>
  <c r="T51" i="134"/>
  <c r="U50" i="134"/>
  <c r="AC50" i="134" s="1"/>
  <c r="T50" i="134"/>
  <c r="AD50" i="134" s="1"/>
  <c r="U49" i="134"/>
  <c r="T49" i="134"/>
  <c r="U48" i="134"/>
  <c r="T48" i="134"/>
  <c r="U47" i="134"/>
  <c r="T47" i="134"/>
  <c r="U38" i="134"/>
  <c r="T38" i="134"/>
  <c r="U37" i="134"/>
  <c r="AC37" i="134" s="1"/>
  <c r="T37" i="134"/>
  <c r="AD37" i="134" s="1"/>
  <c r="AK37" i="134" s="1"/>
  <c r="U36" i="134"/>
  <c r="AC36" i="134" s="1"/>
  <c r="T36" i="134"/>
  <c r="AD36" i="134" s="1"/>
  <c r="U35" i="134"/>
  <c r="AC35" i="134" s="1"/>
  <c r="T35" i="134"/>
  <c r="AD35" i="134" s="1"/>
  <c r="U34" i="134"/>
  <c r="T34" i="134"/>
  <c r="U33" i="134"/>
  <c r="AC33" i="134" s="1"/>
  <c r="T33" i="134"/>
  <c r="AD33" i="134" s="1"/>
  <c r="U32" i="134"/>
  <c r="T32" i="134"/>
  <c r="U31" i="134"/>
  <c r="T31" i="134"/>
  <c r="U30" i="134"/>
  <c r="T30" i="134"/>
  <c r="D64" i="129"/>
  <c r="D65" i="129" s="1"/>
  <c r="C64" i="129"/>
  <c r="C65" i="129" s="1"/>
  <c r="T63" i="129"/>
  <c r="U62" i="129"/>
  <c r="T62" i="129"/>
  <c r="U61" i="129"/>
  <c r="T61" i="129"/>
  <c r="U60" i="129"/>
  <c r="T60" i="129"/>
  <c r="U59" i="129"/>
  <c r="T59" i="129"/>
  <c r="T58" i="129"/>
  <c r="T57" i="129"/>
  <c r="U56" i="129"/>
  <c r="T56" i="129"/>
  <c r="U54" i="129"/>
  <c r="T54" i="129"/>
  <c r="U55" i="129"/>
  <c r="T55" i="129"/>
  <c r="U36" i="129"/>
  <c r="T36" i="129"/>
  <c r="T38" i="129"/>
  <c r="U38" i="129"/>
  <c r="T39" i="129"/>
  <c r="U39" i="129"/>
  <c r="T40" i="129"/>
  <c r="T41" i="129"/>
  <c r="T42" i="129"/>
  <c r="U42" i="129"/>
  <c r="T43" i="129"/>
  <c r="U43" i="129"/>
  <c r="T44" i="129"/>
  <c r="U44" i="129"/>
  <c r="T45" i="129"/>
  <c r="U37" i="129"/>
  <c r="T37" i="129"/>
  <c r="U32" i="135"/>
  <c r="T32" i="135"/>
  <c r="W32" i="135"/>
  <c r="U31" i="135"/>
  <c r="T31" i="135"/>
  <c r="U30" i="135"/>
  <c r="T30" i="135"/>
  <c r="U29" i="135"/>
  <c r="T29" i="135"/>
  <c r="U28" i="135"/>
  <c r="T28" i="135"/>
  <c r="U27" i="135"/>
  <c r="T27" i="135"/>
  <c r="U26" i="135"/>
  <c r="T26" i="135"/>
  <c r="U25" i="135"/>
  <c r="T25" i="135"/>
  <c r="W25" i="135"/>
  <c r="U24" i="135"/>
  <c r="T24" i="135"/>
  <c r="U23" i="135"/>
  <c r="T23" i="135"/>
  <c r="U22" i="135"/>
  <c r="T22" i="135"/>
  <c r="U21" i="135"/>
  <c r="T21" i="135"/>
  <c r="U20" i="135"/>
  <c r="T20" i="135"/>
  <c r="W20" i="135" s="1"/>
  <c r="U19" i="135"/>
  <c r="T19" i="135"/>
  <c r="U18" i="135"/>
  <c r="T18" i="135"/>
  <c r="U17" i="135"/>
  <c r="T17" i="135"/>
  <c r="U16" i="135"/>
  <c r="T16" i="135"/>
  <c r="U15" i="135"/>
  <c r="T15" i="135"/>
  <c r="U14" i="135"/>
  <c r="T14" i="135"/>
  <c r="U13" i="135"/>
  <c r="T13" i="135"/>
  <c r="W13" i="135"/>
  <c r="T24" i="129"/>
  <c r="U23" i="129"/>
  <c r="T23" i="129"/>
  <c r="U22" i="129"/>
  <c r="T22" i="129"/>
  <c r="U21" i="129"/>
  <c r="T21" i="129"/>
  <c r="T20" i="129"/>
  <c r="T19" i="129"/>
  <c r="U18" i="129"/>
  <c r="T18" i="129"/>
  <c r="U17" i="129"/>
  <c r="T17" i="129"/>
  <c r="U16" i="129"/>
  <c r="T16" i="129"/>
  <c r="U15" i="129"/>
  <c r="T15" i="129"/>
  <c r="U21" i="134"/>
  <c r="T21" i="134"/>
  <c r="U20" i="134"/>
  <c r="AC20" i="134" s="1"/>
  <c r="T20" i="134"/>
  <c r="AD20" i="134" s="1"/>
  <c r="U19" i="134"/>
  <c r="AC19" i="134" s="1"/>
  <c r="T19" i="134"/>
  <c r="AD19" i="134" s="1"/>
  <c r="U18" i="134"/>
  <c r="AC18" i="134" s="1"/>
  <c r="T18" i="134"/>
  <c r="AD18" i="134" s="1"/>
  <c r="U17" i="134"/>
  <c r="T17" i="134"/>
  <c r="U16" i="134"/>
  <c r="AC16" i="134" s="1"/>
  <c r="AC25" i="134" s="1"/>
  <c r="T16" i="134"/>
  <c r="AD16" i="134" s="1"/>
  <c r="U15" i="134"/>
  <c r="T15" i="134"/>
  <c r="U14" i="134"/>
  <c r="T14" i="134"/>
  <c r="U13" i="134"/>
  <c r="T13" i="134"/>
  <c r="AK33" i="134" l="1"/>
  <c r="AD40" i="134"/>
  <c r="AD41" i="134"/>
  <c r="AD57" i="134"/>
  <c r="AD58" i="134"/>
  <c r="AD59" i="134"/>
  <c r="AD42" i="134"/>
  <c r="AC58" i="134"/>
  <c r="AC57" i="134"/>
  <c r="AC59" i="134"/>
  <c r="AC42" i="134"/>
  <c r="AC40" i="134"/>
  <c r="AC41" i="134"/>
  <c r="AD44" i="129"/>
  <c r="AC44" i="129"/>
  <c r="AD58" i="129"/>
  <c r="AD57" i="129"/>
  <c r="AD15" i="129"/>
  <c r="AC15" i="129"/>
  <c r="AD43" i="129"/>
  <c r="AC43" i="129"/>
  <c r="AD59" i="129"/>
  <c r="AC59" i="129"/>
  <c r="AD45" i="129"/>
  <c r="AD24" i="129"/>
  <c r="AD42" i="129"/>
  <c r="AC42" i="129"/>
  <c r="AC60" i="129"/>
  <c r="AD60" i="129"/>
  <c r="AD23" i="129"/>
  <c r="AC23" i="129"/>
  <c r="AD21" i="129"/>
  <c r="AC21" i="129"/>
  <c r="AD40" i="129"/>
  <c r="AD62" i="129"/>
  <c r="AC62" i="129"/>
  <c r="AD61" i="129"/>
  <c r="AC61" i="129"/>
  <c r="AD20" i="129"/>
  <c r="AD39" i="129"/>
  <c r="AC39" i="129"/>
  <c r="AD63" i="129"/>
  <c r="AD19" i="129"/>
  <c r="AD38" i="129"/>
  <c r="AC38" i="129"/>
  <c r="AD41" i="129"/>
  <c r="AD18" i="129"/>
  <c r="AC18" i="129"/>
  <c r="AD37" i="129"/>
  <c r="AC37" i="129"/>
  <c r="AC17" i="129"/>
  <c r="AD17" i="129"/>
  <c r="AD54" i="129"/>
  <c r="AC54" i="129"/>
  <c r="AD16" i="129"/>
  <c r="AC16" i="129"/>
  <c r="AD55" i="129"/>
  <c r="AC55" i="129"/>
  <c r="AD36" i="129"/>
  <c r="AC36" i="129"/>
  <c r="AD56" i="129"/>
  <c r="AC56" i="129"/>
  <c r="Y52" i="135"/>
  <c r="Y19" i="135"/>
  <c r="Y57" i="135"/>
  <c r="Y32" i="135"/>
  <c r="AD25" i="134"/>
  <c r="AD23" i="134"/>
  <c r="AD24" i="134"/>
  <c r="AC24" i="134"/>
  <c r="AC23" i="134"/>
  <c r="X52" i="134"/>
  <c r="X49" i="134"/>
  <c r="AA16" i="135"/>
  <c r="AA73" i="135"/>
  <c r="X14" i="134"/>
  <c r="X17" i="135"/>
  <c r="W47" i="135"/>
  <c r="AA71" i="135"/>
  <c r="AA77" i="135"/>
  <c r="AA88" i="135"/>
  <c r="AA42" i="135"/>
  <c r="AA45" i="135"/>
  <c r="AA54" i="135"/>
  <c r="Y14" i="134"/>
  <c r="AA18" i="135"/>
  <c r="AA21" i="135"/>
  <c r="AA24" i="135"/>
  <c r="AA30" i="135"/>
  <c r="Y31" i="134"/>
  <c r="X38" i="134"/>
  <c r="X82" i="135"/>
  <c r="AA86" i="135"/>
  <c r="AB53" i="134"/>
  <c r="Y38" i="134"/>
  <c r="X15" i="135"/>
  <c r="W18" i="135"/>
  <c r="W30" i="135"/>
  <c r="AA41" i="135"/>
  <c r="X31" i="134"/>
  <c r="Z55" i="129"/>
  <c r="Z50" i="134"/>
  <c r="X53" i="134"/>
  <c r="W59" i="135"/>
  <c r="W14" i="135"/>
  <c r="W17" i="135"/>
  <c r="Z56" i="135"/>
  <c r="Z51" i="135"/>
  <c r="X85" i="135"/>
  <c r="X88" i="135"/>
  <c r="Z44" i="135"/>
  <c r="Z50" i="135"/>
  <c r="AA18" i="134"/>
  <c r="Z26" i="135"/>
  <c r="Z14" i="135"/>
  <c r="Z17" i="135"/>
  <c r="Z29" i="135"/>
  <c r="X20" i="135"/>
  <c r="X23" i="135"/>
  <c r="X26" i="135"/>
  <c r="X29" i="135"/>
  <c r="AA35" i="134"/>
  <c r="Y32" i="134"/>
  <c r="Y35" i="134"/>
  <c r="AA30" i="134"/>
  <c r="Y55" i="134"/>
  <c r="X44" i="135"/>
  <c r="X47" i="135"/>
  <c r="X56" i="135"/>
  <c r="Z78" i="135"/>
  <c r="Z22" i="135"/>
  <c r="X16" i="135"/>
  <c r="X19" i="135"/>
  <c r="X22" i="135"/>
  <c r="X28" i="135"/>
  <c r="X31" i="135"/>
  <c r="Y50" i="134"/>
  <c r="Z82" i="135"/>
  <c r="Z85" i="135"/>
  <c r="Z33" i="134"/>
  <c r="AA50" i="134"/>
  <c r="AA85" i="135"/>
  <c r="Z86" i="135"/>
  <c r="Z75" i="135"/>
  <c r="Z81" i="135"/>
  <c r="Z76" i="135"/>
  <c r="X54" i="134"/>
  <c r="Z35" i="134"/>
  <c r="AB47" i="134"/>
  <c r="Y15" i="134"/>
  <c r="AB30" i="134"/>
  <c r="AB33" i="134"/>
  <c r="X36" i="134"/>
  <c r="X33" i="134"/>
  <c r="X30" i="134"/>
  <c r="Y48" i="134"/>
  <c r="Y51" i="134"/>
  <c r="Y33" i="134"/>
  <c r="AB50" i="134"/>
  <c r="AB32" i="134"/>
  <c r="AB35" i="134"/>
  <c r="Y42" i="129"/>
  <c r="AB57" i="129"/>
  <c r="AB60" i="129"/>
  <c r="Y82" i="135"/>
  <c r="Z73" i="135"/>
  <c r="W29" i="135"/>
  <c r="Z45" i="135"/>
  <c r="X43" i="135"/>
  <c r="X46" i="135"/>
  <c r="X49" i="135"/>
  <c r="W52" i="135"/>
  <c r="W58" i="135"/>
  <c r="Y73" i="135"/>
  <c r="Y71" i="135"/>
  <c r="Y74" i="135"/>
  <c r="Z80" i="135"/>
  <c r="AA57" i="135"/>
  <c r="Y45" i="135"/>
  <c r="AA51" i="135"/>
  <c r="Z57" i="135"/>
  <c r="Y88" i="135"/>
  <c r="W71" i="135"/>
  <c r="X74" i="135"/>
  <c r="X77" i="135"/>
  <c r="W80" i="135"/>
  <c r="W83" i="135"/>
  <c r="W86" i="135"/>
  <c r="Z88" i="135"/>
  <c r="X54" i="135"/>
  <c r="X32" i="135"/>
  <c r="Y42" i="135"/>
  <c r="Y54" i="135"/>
  <c r="Z69" i="135"/>
  <c r="Z72" i="135"/>
  <c r="U89" i="135"/>
  <c r="Y15" i="135"/>
  <c r="Y27" i="135"/>
  <c r="Z42" i="135"/>
  <c r="Y44" i="135"/>
  <c r="Z54" i="135"/>
  <c r="T61" i="135"/>
  <c r="Y56" i="135"/>
  <c r="Y85" i="135"/>
  <c r="AA82" i="135"/>
  <c r="W15" i="135"/>
  <c r="W21" i="135"/>
  <c r="W24" i="135"/>
  <c r="Z71" i="135"/>
  <c r="Z77" i="135"/>
  <c r="Y77" i="135"/>
  <c r="X80" i="135"/>
  <c r="Y80" i="135"/>
  <c r="Z79" i="135"/>
  <c r="AA74" i="135"/>
  <c r="X71" i="135"/>
  <c r="Z74" i="135"/>
  <c r="W74" i="135"/>
  <c r="AA80" i="135"/>
  <c r="W77" i="135"/>
  <c r="X83" i="135"/>
  <c r="X70" i="135"/>
  <c r="W70" i="135"/>
  <c r="X86" i="135"/>
  <c r="T89" i="135"/>
  <c r="X73" i="135"/>
  <c r="W73" i="135"/>
  <c r="X76" i="135"/>
  <c r="W76" i="135"/>
  <c r="S89" i="135"/>
  <c r="W69" i="135"/>
  <c r="X72" i="135"/>
  <c r="X75" i="135"/>
  <c r="X78" i="135"/>
  <c r="X81" i="135"/>
  <c r="X84" i="135"/>
  <c r="W84" i="135"/>
  <c r="X79" i="135"/>
  <c r="W79" i="135"/>
  <c r="Y86" i="135"/>
  <c r="AA76" i="135"/>
  <c r="X69" i="135"/>
  <c r="AA72" i="135"/>
  <c r="Y72" i="135"/>
  <c r="AA75" i="135"/>
  <c r="Y75" i="135"/>
  <c r="AA78" i="135"/>
  <c r="Y78" i="135"/>
  <c r="AA81" i="135"/>
  <c r="Y81" i="135"/>
  <c r="AA69" i="135"/>
  <c r="Y69" i="135"/>
  <c r="Z70" i="135"/>
  <c r="AA70" i="135"/>
  <c r="AA79" i="135"/>
  <c r="AA84" i="135"/>
  <c r="Z84" i="135"/>
  <c r="Y84" i="135"/>
  <c r="W82" i="135"/>
  <c r="W85" i="135"/>
  <c r="W88" i="135"/>
  <c r="V25" i="129"/>
  <c r="V64" i="129"/>
  <c r="AB58" i="129"/>
  <c r="V46" i="129"/>
  <c r="Y15" i="129"/>
  <c r="Y18" i="129"/>
  <c r="Y21" i="129"/>
  <c r="X57" i="129"/>
  <c r="U39" i="134"/>
  <c r="AA37" i="134"/>
  <c r="Z37" i="134"/>
  <c r="Y37" i="134"/>
  <c r="X37" i="134"/>
  <c r="X15" i="134"/>
  <c r="AB31" i="134"/>
  <c r="AA31" i="134"/>
  <c r="AB16" i="134"/>
  <c r="T56" i="134"/>
  <c r="Y36" i="134"/>
  <c r="Y34" i="134"/>
  <c r="X34" i="134"/>
  <c r="Z31" i="134"/>
  <c r="AB37" i="134"/>
  <c r="AA33" i="134"/>
  <c r="Z17" i="134"/>
  <c r="X32" i="134"/>
  <c r="AB54" i="134"/>
  <c r="Z32" i="134"/>
  <c r="Z54" i="134"/>
  <c r="S39" i="134"/>
  <c r="Y30" i="134"/>
  <c r="AA32" i="134"/>
  <c r="X35" i="134"/>
  <c r="U56" i="134"/>
  <c r="AA54" i="134"/>
  <c r="T39" i="134"/>
  <c r="Z30" i="134"/>
  <c r="AA49" i="134"/>
  <c r="AA52" i="134"/>
  <c r="AB55" i="134"/>
  <c r="AA14" i="135"/>
  <c r="AA17" i="135"/>
  <c r="AA20" i="135"/>
  <c r="Z23" i="135"/>
  <c r="AA26" i="135"/>
  <c r="AA29" i="135"/>
  <c r="AA32" i="135"/>
  <c r="Y22" i="135"/>
  <c r="W23" i="135"/>
  <c r="AA52" i="135"/>
  <c r="X24" i="135"/>
  <c r="X42" i="135"/>
  <c r="AA13" i="135"/>
  <c r="AA49" i="135"/>
  <c r="X18" i="135"/>
  <c r="X30" i="135"/>
  <c r="T33" i="135"/>
  <c r="AA19" i="135"/>
  <c r="AA25" i="135"/>
  <c r="AA28" i="135"/>
  <c r="AA31" i="135"/>
  <c r="Y31" i="135"/>
  <c r="AA44" i="135"/>
  <c r="AA47" i="135"/>
  <c r="AA59" i="135"/>
  <c r="Y50" i="135"/>
  <c r="Y47" i="135"/>
  <c r="AA56" i="135"/>
  <c r="X59" i="135"/>
  <c r="Z47" i="135"/>
  <c r="Y59" i="135"/>
  <c r="Y49" i="135"/>
  <c r="Z52" i="135"/>
  <c r="Z59" i="135"/>
  <c r="Z49" i="135"/>
  <c r="U61" i="135"/>
  <c r="X50" i="135"/>
  <c r="AA50" i="135"/>
  <c r="Y60" i="135"/>
  <c r="AA60" i="135"/>
  <c r="Z60" i="135"/>
  <c r="W57" i="135"/>
  <c r="W45" i="135"/>
  <c r="W55" i="135"/>
  <c r="X55" i="135"/>
  <c r="X57" i="135"/>
  <c r="AA58" i="135"/>
  <c r="Z58" i="135"/>
  <c r="Y58" i="135"/>
  <c r="X45" i="135"/>
  <c r="AA46" i="135"/>
  <c r="Z46" i="135"/>
  <c r="Y46" i="135"/>
  <c r="Z41" i="135"/>
  <c r="Y41" i="135"/>
  <c r="AA53" i="135"/>
  <c r="Z53" i="135"/>
  <c r="Y53" i="135"/>
  <c r="X52" i="135"/>
  <c r="X53" i="135"/>
  <c r="W53" i="135"/>
  <c r="W50" i="135"/>
  <c r="AA48" i="135"/>
  <c r="Z48" i="135"/>
  <c r="Y48" i="135"/>
  <c r="X60" i="135"/>
  <c r="W60" i="135"/>
  <c r="W48" i="135"/>
  <c r="X48" i="135"/>
  <c r="Y43" i="135"/>
  <c r="Z43" i="135"/>
  <c r="AA43" i="135"/>
  <c r="X41" i="135"/>
  <c r="S61" i="135"/>
  <c r="W41" i="135"/>
  <c r="W43" i="135"/>
  <c r="W46" i="135"/>
  <c r="X58" i="135"/>
  <c r="W44" i="135"/>
  <c r="X51" i="135"/>
  <c r="W56" i="135"/>
  <c r="W49" i="135"/>
  <c r="Y51" i="135"/>
  <c r="AA56" i="129"/>
  <c r="AB16" i="129"/>
  <c r="AB19" i="129"/>
  <c r="AB22" i="129"/>
  <c r="Y56" i="129"/>
  <c r="X59" i="129"/>
  <c r="Y55" i="129"/>
  <c r="Y60" i="129"/>
  <c r="X20" i="129"/>
  <c r="X23" i="129"/>
  <c r="Y62" i="129"/>
  <c r="Y43" i="129"/>
  <c r="AA36" i="129"/>
  <c r="X42" i="129"/>
  <c r="Z37" i="129"/>
  <c r="T46" i="129"/>
  <c r="AA37" i="129"/>
  <c r="X39" i="129"/>
  <c r="R64" i="129"/>
  <c r="Z61" i="129"/>
  <c r="AA55" i="129"/>
  <c r="AA18" i="129"/>
  <c r="AA21" i="129"/>
  <c r="X54" i="129"/>
  <c r="Y61" i="129"/>
  <c r="AB41" i="129"/>
  <c r="AB55" i="129"/>
  <c r="T64" i="129"/>
  <c r="Y37" i="129"/>
  <c r="AB40" i="129"/>
  <c r="Y36" i="129"/>
  <c r="Z56" i="129"/>
  <c r="AB59" i="129"/>
  <c r="AA62" i="129"/>
  <c r="AA59" i="129"/>
  <c r="Z60" i="129"/>
  <c r="AA60" i="129"/>
  <c r="AB62" i="129"/>
  <c r="X63" i="129"/>
  <c r="AB45" i="129"/>
  <c r="AB42" i="129"/>
  <c r="AB39" i="129"/>
  <c r="Z63" i="129"/>
  <c r="AB63" i="129"/>
  <c r="Z41" i="129"/>
  <c r="Z38" i="129"/>
  <c r="Y54" i="129"/>
  <c r="S46" i="129"/>
  <c r="Z54" i="129"/>
  <c r="AB56" i="129"/>
  <c r="Y59" i="129"/>
  <c r="AA61" i="129"/>
  <c r="Z43" i="129"/>
  <c r="AA54" i="129"/>
  <c r="Z59" i="129"/>
  <c r="AB61" i="129"/>
  <c r="AB54" i="129"/>
  <c r="X62" i="129"/>
  <c r="AA43" i="129"/>
  <c r="X36" i="129"/>
  <c r="X55" i="129"/>
  <c r="Z57" i="129"/>
  <c r="Y39" i="129"/>
  <c r="X60" i="129"/>
  <c r="Z62" i="129"/>
  <c r="AA39" i="129"/>
  <c r="Z36" i="129"/>
  <c r="X58" i="129"/>
  <c r="S64" i="129"/>
  <c r="X41" i="129"/>
  <c r="Y38" i="129"/>
  <c r="X56" i="129"/>
  <c r="Z58" i="129"/>
  <c r="AA38" i="129"/>
  <c r="X61" i="129"/>
  <c r="AB37" i="129"/>
  <c r="AB38" i="129"/>
  <c r="AB36" i="129"/>
  <c r="AA15" i="135"/>
  <c r="Z20" i="135"/>
  <c r="Z32" i="135"/>
  <c r="X13" i="135"/>
  <c r="Z15" i="135"/>
  <c r="Y20" i="135"/>
  <c r="AA22" i="135"/>
  <c r="X25" i="135"/>
  <c r="Z27" i="135"/>
  <c r="Y13" i="135"/>
  <c r="Y25" i="135"/>
  <c r="W16" i="135"/>
  <c r="Y18" i="135"/>
  <c r="Z25" i="135"/>
  <c r="W28" i="135"/>
  <c r="Y30" i="135"/>
  <c r="W26" i="135"/>
  <c r="Z18" i="135"/>
  <c r="Y23" i="135"/>
  <c r="Y16" i="135"/>
  <c r="X21" i="135"/>
  <c r="Y28" i="135"/>
  <c r="X14" i="135"/>
  <c r="Z16" i="135"/>
  <c r="W19" i="135"/>
  <c r="Y21" i="135"/>
  <c r="AA23" i="135"/>
  <c r="Z28" i="135"/>
  <c r="W31" i="135"/>
  <c r="U33" i="135"/>
  <c r="Z30" i="135"/>
  <c r="Y14" i="135"/>
  <c r="Z21" i="135"/>
  <c r="Y26" i="135"/>
  <c r="R33" i="135"/>
  <c r="Z19" i="135"/>
  <c r="W22" i="135"/>
  <c r="Y24" i="135"/>
  <c r="Z31" i="135"/>
  <c r="Y17" i="135"/>
  <c r="Z24" i="135"/>
  <c r="Y29" i="135"/>
  <c r="Y52" i="134"/>
  <c r="AA53" i="134"/>
  <c r="X50" i="134"/>
  <c r="AA48" i="134"/>
  <c r="Z55" i="134"/>
  <c r="AB49" i="134"/>
  <c r="Y54" i="134"/>
  <c r="AB48" i="134"/>
  <c r="Y49" i="134"/>
  <c r="AB52" i="134"/>
  <c r="Y53" i="134"/>
  <c r="Z47" i="134"/>
  <c r="AA47" i="134"/>
  <c r="X48" i="134"/>
  <c r="AA55" i="134"/>
  <c r="Z48" i="134"/>
  <c r="Z52" i="134"/>
  <c r="Z49" i="134"/>
  <c r="Z53" i="134"/>
  <c r="X47" i="134"/>
  <c r="X51" i="134"/>
  <c r="X55" i="134"/>
  <c r="S56" i="134"/>
  <c r="Y47" i="134"/>
  <c r="AB13" i="134"/>
  <c r="Z16" i="134"/>
  <c r="Z18" i="134"/>
  <c r="AA16" i="134"/>
  <c r="Y18" i="134"/>
  <c r="Z13" i="134"/>
  <c r="X44" i="129"/>
  <c r="AB43" i="129"/>
  <c r="Z18" i="129"/>
  <c r="X37" i="129"/>
  <c r="Z39" i="129"/>
  <c r="Y44" i="129"/>
  <c r="Y16" i="129"/>
  <c r="Y22" i="129"/>
  <c r="Z42" i="129"/>
  <c r="AA17" i="129"/>
  <c r="AA42" i="129"/>
  <c r="X45" i="129"/>
  <c r="Y17" i="129"/>
  <c r="X38" i="129"/>
  <c r="Z40" i="129"/>
  <c r="X40" i="129"/>
  <c r="X43" i="129"/>
  <c r="Z45" i="129"/>
  <c r="AB15" i="129"/>
  <c r="Z21" i="129"/>
  <c r="Z15" i="129"/>
  <c r="AB20" i="129"/>
  <c r="AA22" i="129"/>
  <c r="AB24" i="129"/>
  <c r="Y23" i="129"/>
  <c r="X16" i="129"/>
  <c r="Z16" i="129"/>
  <c r="AB17" i="129"/>
  <c r="X21" i="129"/>
  <c r="AA16" i="129"/>
  <c r="X19" i="129"/>
  <c r="S25" i="129"/>
  <c r="X24" i="129"/>
  <c r="T25" i="129"/>
  <c r="X17" i="129"/>
  <c r="Z19" i="129"/>
  <c r="AB21" i="129"/>
  <c r="X22" i="129"/>
  <c r="Z24" i="129"/>
  <c r="AB18" i="129"/>
  <c r="X15" i="129"/>
  <c r="Z17" i="129"/>
  <c r="Z22" i="129"/>
  <c r="AA15" i="129"/>
  <c r="X18" i="129"/>
  <c r="Z20" i="129"/>
  <c r="Z15" i="134"/>
  <c r="U22" i="134"/>
  <c r="Y16" i="134"/>
  <c r="Y19" i="134"/>
  <c r="Y20" i="134"/>
  <c r="Y17" i="134"/>
  <c r="Y21" i="134"/>
  <c r="AA13" i="134"/>
  <c r="T22" i="134"/>
  <c r="AC22" i="134" s="1"/>
  <c r="X18" i="134"/>
  <c r="X16" i="134"/>
  <c r="X19" i="134"/>
  <c r="AB20" i="134"/>
  <c r="X20" i="134"/>
  <c r="AB17" i="134"/>
  <c r="AB18" i="134"/>
  <c r="X17" i="134"/>
  <c r="X21" i="134"/>
  <c r="X13" i="134"/>
  <c r="Y13" i="134"/>
  <c r="AB14" i="134"/>
  <c r="AA15" i="134"/>
  <c r="Z20" i="134"/>
  <c r="AB15" i="134"/>
  <c r="AA20" i="134"/>
  <c r="AA17" i="134"/>
  <c r="Z14" i="134"/>
  <c r="AA14" i="134"/>
  <c r="Q9" i="135"/>
  <c r="A4" i="135"/>
  <c r="Q9" i="134"/>
  <c r="A4" i="134"/>
  <c r="A4" i="129"/>
  <c r="Q11" i="129"/>
  <c r="AC39" i="134" l="1"/>
  <c r="AD65" i="129"/>
  <c r="AD47" i="129"/>
  <c r="AD27" i="129"/>
  <c r="AJ34" i="134"/>
  <c r="AJ31" i="134"/>
  <c r="AJ38" i="134"/>
  <c r="AJ32" i="134"/>
  <c r="AJ30" i="134"/>
  <c r="AJ33" i="134"/>
  <c r="AJ49" i="134"/>
  <c r="AJ47" i="134"/>
  <c r="AJ55" i="134"/>
  <c r="AJ48" i="134"/>
  <c r="AJ51" i="134"/>
  <c r="AJ50" i="134"/>
  <c r="AJ52" i="134"/>
  <c r="AJ37" i="134"/>
  <c r="AJ35" i="134"/>
  <c r="AJ36" i="134"/>
  <c r="AJ53" i="134"/>
  <c r="AJ54" i="134"/>
  <c r="AJ21" i="134"/>
  <c r="AJ20" i="134"/>
  <c r="AJ19" i="134"/>
  <c r="AJ18" i="134"/>
  <c r="AJ17" i="134"/>
  <c r="AJ16" i="134"/>
  <c r="AJ15" i="134"/>
  <c r="AJ14" i="134"/>
  <c r="AJ13" i="134"/>
  <c r="Y42" i="134"/>
  <c r="AF33" i="134" s="1"/>
  <c r="AD26" i="129"/>
  <c r="AD28" i="129"/>
  <c r="X42" i="134"/>
  <c r="AE35" i="134" s="1"/>
  <c r="AD56" i="134"/>
  <c r="AD22" i="134"/>
  <c r="X25" i="134"/>
  <c r="AE16" i="134" s="1"/>
  <c r="AC56" i="134"/>
  <c r="Y25" i="134"/>
  <c r="AF18" i="134" s="1"/>
  <c r="AD39" i="134"/>
  <c r="AD25" i="129"/>
  <c r="Z67" i="129"/>
  <c r="AG58" i="129" s="1"/>
  <c r="X41" i="134"/>
  <c r="X28" i="129"/>
  <c r="AE22" i="129" s="1"/>
  <c r="AD66" i="129"/>
  <c r="Z35" i="135"/>
  <c r="W92" i="135"/>
  <c r="W91" i="135"/>
  <c r="W90" i="135"/>
  <c r="X92" i="135"/>
  <c r="X91" i="135"/>
  <c r="X90" i="135"/>
  <c r="W89" i="135"/>
  <c r="X89" i="135"/>
  <c r="AD46" i="129"/>
  <c r="AD67" i="129"/>
  <c r="AK63" i="129" s="1"/>
  <c r="AD49" i="129"/>
  <c r="AK37" i="129" s="1"/>
  <c r="AD48" i="129"/>
  <c r="Z64" i="129"/>
  <c r="AD64" i="129"/>
  <c r="X67" i="129"/>
  <c r="X23" i="134"/>
  <c r="X24" i="134"/>
  <c r="Y40" i="134"/>
  <c r="Y23" i="134"/>
  <c r="Y24" i="134"/>
  <c r="Y39" i="134"/>
  <c r="X39" i="134"/>
  <c r="X40" i="134"/>
  <c r="Y22" i="134"/>
  <c r="X22" i="134"/>
  <c r="Y41" i="134"/>
  <c r="Z36" i="135"/>
  <c r="AE31" i="135" s="1"/>
  <c r="Z34" i="135"/>
  <c r="Y34" i="135"/>
  <c r="Y36" i="135"/>
  <c r="AD21" i="135" s="1"/>
  <c r="Y35" i="135"/>
  <c r="W62" i="135"/>
  <c r="W64" i="135"/>
  <c r="W63" i="135"/>
  <c r="X61" i="135"/>
  <c r="W61" i="135"/>
  <c r="X62" i="135"/>
  <c r="X64" i="135"/>
  <c r="X63" i="135"/>
  <c r="X65" i="129"/>
  <c r="AB66" i="129"/>
  <c r="Z66" i="129"/>
  <c r="Z65" i="129"/>
  <c r="AB67" i="129"/>
  <c r="AI61" i="129" s="1"/>
  <c r="X64" i="129"/>
  <c r="X48" i="129"/>
  <c r="X49" i="129"/>
  <c r="AE43" i="129" s="1"/>
  <c r="X47" i="129"/>
  <c r="AB65" i="129"/>
  <c r="AB64" i="129"/>
  <c r="X66" i="129"/>
  <c r="Z33" i="135"/>
  <c r="Y33" i="135"/>
  <c r="X57" i="134"/>
  <c r="X59" i="134"/>
  <c r="AE50" i="134" s="1"/>
  <c r="X58" i="134"/>
  <c r="Y59" i="134"/>
  <c r="AF50" i="134" s="1"/>
  <c r="Y57" i="134"/>
  <c r="Y58" i="134"/>
  <c r="Y56" i="134"/>
  <c r="X56" i="134"/>
  <c r="X46" i="129"/>
  <c r="X25" i="129"/>
  <c r="X27" i="129"/>
  <c r="X26" i="129"/>
  <c r="J2" i="121"/>
  <c r="AE33" i="134" l="1"/>
  <c r="AE25" i="135"/>
  <c r="AE28" i="135"/>
  <c r="AE36" i="134"/>
  <c r="AE37" i="134"/>
  <c r="AF32" i="134"/>
  <c r="AE31" i="134"/>
  <c r="AG57" i="129"/>
  <c r="AF31" i="134"/>
  <c r="AG63" i="129"/>
  <c r="AE23" i="135"/>
  <c r="AG62" i="129"/>
  <c r="AE30" i="134"/>
  <c r="AG54" i="129"/>
  <c r="AD14" i="135"/>
  <c r="AE14" i="135"/>
  <c r="AE55" i="134"/>
  <c r="AE48" i="134"/>
  <c r="AD22" i="135"/>
  <c r="AD30" i="135"/>
  <c r="AF15" i="134"/>
  <c r="AF53" i="134"/>
  <c r="AE14" i="134"/>
  <c r="AD32" i="135"/>
  <c r="AD15" i="135"/>
  <c r="AD17" i="135"/>
  <c r="AF52" i="134"/>
  <c r="AE13" i="134"/>
  <c r="AG55" i="129"/>
  <c r="AF36" i="134"/>
  <c r="AF35" i="134"/>
  <c r="AE21" i="134"/>
  <c r="AF37" i="134"/>
  <c r="AD19" i="135"/>
  <c r="AD28" i="135"/>
  <c r="AD25" i="135"/>
  <c r="AD27" i="135"/>
  <c r="AG61" i="129"/>
  <c r="AG60" i="129"/>
  <c r="AD23" i="135"/>
  <c r="AF48" i="134"/>
  <c r="C21" i="135"/>
  <c r="AE52" i="134"/>
  <c r="AF49" i="134"/>
  <c r="AD26" i="135"/>
  <c r="AD20" i="135"/>
  <c r="AF21" i="134"/>
  <c r="AE51" i="134"/>
  <c r="AD18" i="135"/>
  <c r="AD29" i="135"/>
  <c r="AI60" i="129"/>
  <c r="AD13" i="135"/>
  <c r="AD24" i="135"/>
  <c r="AD31" i="135"/>
  <c r="AG59" i="129"/>
  <c r="AF34" i="134"/>
  <c r="AF38" i="134"/>
  <c r="AF13" i="134"/>
  <c r="AD16" i="135"/>
  <c r="AG56" i="129"/>
  <c r="AE16" i="135"/>
  <c r="AI57" i="129"/>
  <c r="AE18" i="135"/>
  <c r="AE34" i="134"/>
  <c r="AE19" i="135"/>
  <c r="AE47" i="134"/>
  <c r="AF17" i="134"/>
  <c r="AF20" i="134"/>
  <c r="AE49" i="134"/>
  <c r="AF47" i="134"/>
  <c r="AF51" i="134"/>
  <c r="AI62" i="129"/>
  <c r="AE20" i="134"/>
  <c r="AE38" i="134"/>
  <c r="AE19" i="134"/>
  <c r="AF19" i="134"/>
  <c r="AE32" i="134"/>
  <c r="AE17" i="134"/>
  <c r="AF14" i="134"/>
  <c r="AI56" i="129"/>
  <c r="AE53" i="134"/>
  <c r="AF54" i="134"/>
  <c r="AF16" i="134"/>
  <c r="AE29" i="135"/>
  <c r="AE54" i="134"/>
  <c r="AE22" i="135"/>
  <c r="AI58" i="129"/>
  <c r="AE30" i="135"/>
  <c r="AI55" i="129"/>
  <c r="AE26" i="135"/>
  <c r="AE13" i="135"/>
  <c r="AI59" i="129"/>
  <c r="AE18" i="134"/>
  <c r="AE27" i="135"/>
  <c r="AF55" i="134"/>
  <c r="AE15" i="134"/>
  <c r="AI63" i="129"/>
  <c r="AI54" i="129"/>
  <c r="AE21" i="135"/>
  <c r="AE15" i="135"/>
  <c r="AE17" i="135"/>
  <c r="AE32" i="135"/>
  <c r="AF30" i="134"/>
  <c r="AE24" i="135"/>
  <c r="AE20" i="135"/>
  <c r="AE38" i="129"/>
  <c r="AK41" i="129"/>
  <c r="AK62" i="129"/>
  <c r="AK61" i="129"/>
  <c r="AK54" i="129"/>
  <c r="AK57" i="129"/>
  <c r="AK55" i="129"/>
  <c r="AK20" i="129"/>
  <c r="AK22" i="129"/>
  <c r="AK19" i="129"/>
  <c r="AK18" i="129"/>
  <c r="AK24" i="129"/>
  <c r="AK17" i="129"/>
  <c r="AK15" i="129"/>
  <c r="AK23" i="129"/>
  <c r="AK16" i="129"/>
  <c r="AK21" i="129"/>
  <c r="AE40" i="129"/>
  <c r="AE16" i="129"/>
  <c r="AK45" i="129"/>
  <c r="AE15" i="129"/>
  <c r="AJ56" i="134"/>
  <c r="AJ22" i="134"/>
  <c r="AK58" i="129"/>
  <c r="AE21" i="129"/>
  <c r="AK42" i="129"/>
  <c r="AK36" i="129"/>
  <c r="AK44" i="129"/>
  <c r="AK40" i="129"/>
  <c r="AE20" i="129"/>
  <c r="AK43" i="129"/>
  <c r="AE36" i="129"/>
  <c r="AK38" i="129"/>
  <c r="AK39" i="129"/>
  <c r="AE42" i="129"/>
  <c r="AE19" i="129"/>
  <c r="AE39" i="129"/>
  <c r="AK60" i="129"/>
  <c r="AK56" i="129"/>
  <c r="AE44" i="129"/>
  <c r="AK59" i="129"/>
  <c r="AE24" i="129"/>
  <c r="AE45" i="129"/>
  <c r="AE37" i="129"/>
  <c r="AE23" i="129"/>
  <c r="AE18" i="129"/>
  <c r="AE17" i="129"/>
  <c r="AE41" i="129"/>
  <c r="AJ39" i="134"/>
  <c r="AK39" i="134"/>
  <c r="AK56" i="134"/>
  <c r="AK22" i="134"/>
  <c r="AE61" i="129"/>
  <c r="AE59" i="129"/>
  <c r="AE55" i="129"/>
  <c r="AE62" i="129"/>
  <c r="AE60" i="129"/>
  <c r="AE58" i="129"/>
  <c r="AE56" i="129"/>
  <c r="AE54" i="129"/>
  <c r="AE63" i="129"/>
  <c r="AE57" i="129"/>
  <c r="CJ51" i="119"/>
  <c r="J2" i="113"/>
  <c r="D21" i="135" s="1"/>
  <c r="J3" i="113"/>
  <c r="J4" i="113"/>
  <c r="D32" i="135" s="1"/>
  <c r="J5" i="113"/>
  <c r="D22" i="135" s="1"/>
  <c r="J6" i="113"/>
  <c r="D23" i="135" s="1"/>
  <c r="J7" i="113"/>
  <c r="J8" i="113"/>
  <c r="J9" i="113"/>
  <c r="D28" i="135" s="1"/>
  <c r="J10" i="113"/>
  <c r="D14" i="135" s="1"/>
  <c r="J11" i="113"/>
  <c r="J12" i="113"/>
  <c r="D25" i="135" s="1"/>
  <c r="J13" i="113"/>
  <c r="D13" i="135" s="1"/>
  <c r="J14" i="113"/>
  <c r="J15" i="113"/>
  <c r="D19" i="135" s="1"/>
  <c r="J16" i="113"/>
  <c r="D17" i="135" s="1"/>
  <c r="J17" i="113"/>
  <c r="J18" i="113"/>
  <c r="D18" i="135" s="1"/>
  <c r="J19" i="113"/>
  <c r="D19" i="129" s="1"/>
  <c r="J20" i="113"/>
  <c r="D16" i="129" s="1"/>
  <c r="J21" i="113"/>
  <c r="D15" i="129" s="1"/>
  <c r="J22" i="113"/>
  <c r="D17" i="129" s="1"/>
  <c r="J23" i="113"/>
  <c r="D18" i="129" s="1"/>
  <c r="J24" i="113"/>
  <c r="D24" i="129" s="1"/>
  <c r="J25" i="113"/>
  <c r="D22" i="129" s="1"/>
  <c r="J26" i="113"/>
  <c r="D20" i="129" s="1"/>
  <c r="J27" i="113"/>
  <c r="D31" i="135" s="1"/>
  <c r="J28" i="113"/>
  <c r="J29" i="113"/>
  <c r="D29" i="135" s="1"/>
  <c r="J30" i="113"/>
  <c r="D23" i="129" s="1"/>
  <c r="J31" i="113"/>
  <c r="D20" i="135" s="1"/>
  <c r="J32" i="113"/>
  <c r="J33" i="113"/>
  <c r="J34" i="113"/>
  <c r="J35" i="113"/>
  <c r="D30" i="135" s="1"/>
  <c r="J36" i="113"/>
  <c r="D15" i="135" s="1"/>
  <c r="J38" i="113"/>
  <c r="D16" i="135" s="1"/>
  <c r="J39" i="113"/>
  <c r="D24" i="135" s="1"/>
  <c r="J40" i="113"/>
  <c r="D26" i="135" s="1"/>
  <c r="J2" i="123"/>
  <c r="J3" i="123"/>
  <c r="J4" i="123"/>
  <c r="E32" i="135" s="1"/>
  <c r="J5" i="123"/>
  <c r="E22" i="135" s="1"/>
  <c r="J6" i="123"/>
  <c r="E23" i="135" s="1"/>
  <c r="J7" i="123"/>
  <c r="E17" i="134" s="1"/>
  <c r="J8" i="123"/>
  <c r="E14" i="134" s="1"/>
  <c r="J9" i="123"/>
  <c r="E28" i="135" s="1"/>
  <c r="J10" i="123"/>
  <c r="E14" i="135" s="1"/>
  <c r="J11" i="123"/>
  <c r="J12" i="123"/>
  <c r="E25" i="135" s="1"/>
  <c r="J13" i="123"/>
  <c r="E13" i="135" s="1"/>
  <c r="J14" i="123"/>
  <c r="E19" i="134" s="1"/>
  <c r="J15" i="123"/>
  <c r="E19" i="135" s="1"/>
  <c r="J16" i="123"/>
  <c r="E17" i="135" s="1"/>
  <c r="J17" i="123"/>
  <c r="E20" i="134" s="1"/>
  <c r="J18" i="123"/>
  <c r="E18" i="135" s="1"/>
  <c r="J20" i="123"/>
  <c r="E16" i="129" s="1"/>
  <c r="J21" i="123"/>
  <c r="E15" i="129" s="1"/>
  <c r="J22" i="123"/>
  <c r="E17" i="129" s="1"/>
  <c r="J23" i="123"/>
  <c r="E18" i="129" s="1"/>
  <c r="J25" i="123"/>
  <c r="E22" i="129" s="1"/>
  <c r="J27" i="123"/>
  <c r="E31" i="135" s="1"/>
  <c r="J28" i="123"/>
  <c r="E16" i="134" s="1"/>
  <c r="J29" i="123"/>
  <c r="E29" i="135" s="1"/>
  <c r="J30" i="123"/>
  <c r="E23" i="129" s="1"/>
  <c r="J31" i="123"/>
  <c r="E20" i="135" s="1"/>
  <c r="J32" i="123"/>
  <c r="E21" i="134" s="1"/>
  <c r="J33" i="123"/>
  <c r="E18" i="134" s="1"/>
  <c r="J34" i="123"/>
  <c r="E13" i="134" s="1"/>
  <c r="J35" i="123"/>
  <c r="E30" i="135" s="1"/>
  <c r="J36" i="123"/>
  <c r="E15" i="135" s="1"/>
  <c r="J37" i="123"/>
  <c r="E27" i="135" s="1"/>
  <c r="J38" i="123"/>
  <c r="E16" i="135" s="1"/>
  <c r="J39" i="123"/>
  <c r="E24" i="135" s="1"/>
  <c r="J40" i="123"/>
  <c r="E26" i="135" s="1"/>
  <c r="J2" i="124"/>
  <c r="F21" i="135" s="1"/>
  <c r="J3" i="124"/>
  <c r="J4" i="124"/>
  <c r="F32" i="135" s="1"/>
  <c r="J5" i="124"/>
  <c r="F22" i="135" s="1"/>
  <c r="J6" i="124"/>
  <c r="J7" i="124"/>
  <c r="J8" i="124"/>
  <c r="J9" i="124"/>
  <c r="F28" i="135" s="1"/>
  <c r="J10" i="124"/>
  <c r="F14" i="135" s="1"/>
  <c r="J11" i="124"/>
  <c r="J12" i="124"/>
  <c r="F25" i="135" s="1"/>
  <c r="J13" i="124"/>
  <c r="F13" i="135" s="1"/>
  <c r="J14" i="124"/>
  <c r="J15" i="124"/>
  <c r="F19" i="135" s="1"/>
  <c r="J16" i="124"/>
  <c r="F17" i="135" s="1"/>
  <c r="J17" i="124"/>
  <c r="J18" i="124"/>
  <c r="F18" i="135" s="1"/>
  <c r="J20" i="124"/>
  <c r="F16" i="129" s="1"/>
  <c r="J21" i="124"/>
  <c r="F15" i="129" s="1"/>
  <c r="J22" i="124"/>
  <c r="F17" i="129" s="1"/>
  <c r="J23" i="124"/>
  <c r="F18" i="129" s="1"/>
  <c r="J25" i="124"/>
  <c r="F22" i="129" s="1"/>
  <c r="J27" i="124"/>
  <c r="F31" i="135" s="1"/>
  <c r="J28" i="124"/>
  <c r="J29" i="124"/>
  <c r="F29" i="135" s="1"/>
  <c r="J30" i="124"/>
  <c r="F23" i="129" s="1"/>
  <c r="J31" i="124"/>
  <c r="F20" i="135" s="1"/>
  <c r="J32" i="124"/>
  <c r="J33" i="124"/>
  <c r="J34" i="124"/>
  <c r="J35" i="124"/>
  <c r="F30" i="135" s="1"/>
  <c r="J36" i="124"/>
  <c r="F15" i="135" s="1"/>
  <c r="J37" i="124"/>
  <c r="F27" i="135" s="1"/>
  <c r="J38" i="124"/>
  <c r="F16" i="135" s="1"/>
  <c r="J39" i="124"/>
  <c r="F24" i="135" s="1"/>
  <c r="J40" i="124"/>
  <c r="F26" i="135" s="1"/>
  <c r="J3" i="121"/>
  <c r="J4" i="121"/>
  <c r="C32" i="135" s="1"/>
  <c r="J5" i="121"/>
  <c r="C22" i="135" s="1"/>
  <c r="J6" i="121"/>
  <c r="C23" i="135" s="1"/>
  <c r="J8" i="121"/>
  <c r="C14" i="134" s="1"/>
  <c r="J9" i="121"/>
  <c r="C28" i="135" s="1"/>
  <c r="J10" i="121"/>
  <c r="C14" i="135" s="1"/>
  <c r="J11" i="121"/>
  <c r="J12" i="121"/>
  <c r="C25" i="135" s="1"/>
  <c r="J13" i="121"/>
  <c r="C13" i="135" s="1"/>
  <c r="J15" i="121"/>
  <c r="C19" i="135" s="1"/>
  <c r="J16" i="121"/>
  <c r="C17" i="135" s="1"/>
  <c r="J17" i="121"/>
  <c r="C20" i="134" s="1"/>
  <c r="J18" i="121"/>
  <c r="C18" i="135" s="1"/>
  <c r="J19" i="121"/>
  <c r="C19" i="129" s="1"/>
  <c r="J20" i="121"/>
  <c r="C16" i="129" s="1"/>
  <c r="J21" i="121"/>
  <c r="C15" i="129" s="1"/>
  <c r="J22" i="121"/>
  <c r="C17" i="129" s="1"/>
  <c r="J23" i="121"/>
  <c r="C18" i="129" s="1"/>
  <c r="J24" i="121"/>
  <c r="C24" i="129" s="1"/>
  <c r="J25" i="121"/>
  <c r="C22" i="129" s="1"/>
  <c r="J26" i="121"/>
  <c r="C20" i="129" s="1"/>
  <c r="J27" i="121"/>
  <c r="C31" i="135" s="1"/>
  <c r="J28" i="121"/>
  <c r="C16" i="134" s="1"/>
  <c r="J29" i="121"/>
  <c r="C29" i="135" s="1"/>
  <c r="J31" i="121"/>
  <c r="C20" i="135" s="1"/>
  <c r="J33" i="121"/>
  <c r="C18" i="134" s="1"/>
  <c r="J34" i="121"/>
  <c r="C13" i="134" s="1"/>
  <c r="J35" i="121"/>
  <c r="C30" i="135" s="1"/>
  <c r="J36" i="121"/>
  <c r="C15" i="135" s="1"/>
  <c r="J38" i="121"/>
  <c r="C16" i="135" s="1"/>
  <c r="J39" i="121"/>
  <c r="C24" i="135" s="1"/>
  <c r="J40" i="121"/>
  <c r="C26" i="135" s="1"/>
  <c r="C15" i="134" l="1"/>
  <c r="E21" i="129"/>
  <c r="D31" i="134"/>
  <c r="D14" i="134"/>
  <c r="D48" i="134"/>
  <c r="D33" i="134"/>
  <c r="D50" i="134"/>
  <c r="D16" i="134"/>
  <c r="F31" i="134"/>
  <c r="F48" i="134"/>
  <c r="F14" i="134"/>
  <c r="C21" i="129"/>
  <c r="AE39" i="134"/>
  <c r="E21" i="135"/>
  <c r="E33" i="135" s="1"/>
  <c r="J44" i="123"/>
  <c r="E15" i="134"/>
  <c r="E22" i="134" s="1"/>
  <c r="J43" i="123"/>
  <c r="F33" i="134"/>
  <c r="F50" i="134"/>
  <c r="F16" i="134"/>
  <c r="F33" i="135"/>
  <c r="AE22" i="134"/>
  <c r="D30" i="134"/>
  <c r="D13" i="134"/>
  <c r="D47" i="134"/>
  <c r="AF56" i="134"/>
  <c r="D55" i="134"/>
  <c r="D21" i="134"/>
  <c r="D38" i="134"/>
  <c r="D51" i="134"/>
  <c r="D34" i="134"/>
  <c r="D17" i="134"/>
  <c r="AF22" i="134"/>
  <c r="F49" i="134"/>
  <c r="F32" i="134"/>
  <c r="F15" i="134"/>
  <c r="D54" i="134"/>
  <c r="D20" i="134"/>
  <c r="D37" i="134"/>
  <c r="F30" i="134"/>
  <c r="F47" i="134"/>
  <c r="F13" i="134"/>
  <c r="D35" i="134"/>
  <c r="D52" i="134"/>
  <c r="D18" i="134"/>
  <c r="F21" i="134"/>
  <c r="F55" i="134"/>
  <c r="F38" i="134"/>
  <c r="F20" i="134"/>
  <c r="F54" i="134"/>
  <c r="F37" i="134"/>
  <c r="F19" i="134"/>
  <c r="F53" i="134"/>
  <c r="F36" i="134"/>
  <c r="D15" i="134"/>
  <c r="D49" i="134"/>
  <c r="D32" i="134"/>
  <c r="D36" i="134"/>
  <c r="D19" i="134"/>
  <c r="D53" i="134"/>
  <c r="F51" i="134"/>
  <c r="F17" i="134"/>
  <c r="F34" i="134"/>
  <c r="F35" i="134"/>
  <c r="F18" i="134"/>
  <c r="F52" i="134"/>
  <c r="AE56" i="134"/>
  <c r="AF39" i="134"/>
  <c r="J43" i="124"/>
  <c r="J44" i="124"/>
  <c r="J43" i="113"/>
  <c r="F21" i="129"/>
  <c r="D21" i="129"/>
  <c r="D25" i="129" s="1"/>
  <c r="J42" i="113"/>
  <c r="AK46" i="129"/>
  <c r="AK25" i="129"/>
  <c r="AK64" i="129"/>
  <c r="AE33" i="135"/>
  <c r="AE64" i="129"/>
  <c r="AD33" i="135"/>
  <c r="AG64" i="129"/>
  <c r="AI64" i="129"/>
  <c r="AE46" i="129"/>
  <c r="AE25" i="129"/>
  <c r="C52" i="119"/>
  <c r="D52" i="119" s="1"/>
  <c r="E52" i="119" s="1"/>
  <c r="F52" i="119" s="1"/>
  <c r="G52" i="119" s="1"/>
  <c r="H52" i="119" s="1"/>
  <c r="I52" i="119" s="1"/>
  <c r="J52" i="119" s="1"/>
  <c r="K52" i="119" s="1"/>
  <c r="L52" i="119" s="1"/>
  <c r="M52" i="119" s="1"/>
  <c r="N52" i="119" s="1"/>
  <c r="O52" i="119" s="1"/>
  <c r="P52" i="119" s="1"/>
  <c r="Q52" i="119" s="1"/>
  <c r="R52" i="119" s="1"/>
  <c r="S52" i="119" s="1"/>
  <c r="T52" i="119" s="1"/>
  <c r="U52" i="119" s="1"/>
  <c r="V52" i="119" s="1"/>
  <c r="W52" i="119" s="1"/>
  <c r="X52" i="119" s="1"/>
  <c r="Y52" i="119" s="1"/>
  <c r="Z52" i="119" s="1"/>
  <c r="AA52" i="119" s="1"/>
  <c r="AB52" i="119" s="1"/>
  <c r="AC52" i="119" s="1"/>
  <c r="AD52" i="119" s="1"/>
  <c r="AE52" i="119" s="1"/>
  <c r="AF52" i="119" s="1"/>
  <c r="AG52" i="119" s="1"/>
  <c r="AH52" i="119" s="1"/>
  <c r="AI52" i="119" s="1"/>
  <c r="AJ52" i="119" s="1"/>
  <c r="AK52" i="119" s="1"/>
  <c r="AL52" i="119" s="1"/>
  <c r="AM52" i="119" s="1"/>
  <c r="AN52" i="119" s="1"/>
  <c r="AO52" i="119" s="1"/>
  <c r="AP52" i="119" s="1"/>
  <c r="AQ52" i="119" s="1"/>
  <c r="AR52" i="119" s="1"/>
  <c r="AS52" i="119" s="1"/>
  <c r="AT52" i="119" s="1"/>
  <c r="AU52" i="119" s="1"/>
  <c r="AV52" i="119" s="1"/>
  <c r="AW52" i="119" s="1"/>
  <c r="AX52" i="119" s="1"/>
  <c r="AY52" i="119" s="1"/>
  <c r="AZ52" i="119" s="1"/>
  <c r="BA52" i="119" s="1"/>
  <c r="BB52" i="119" s="1"/>
  <c r="BC52" i="119" s="1"/>
  <c r="BD52" i="119" s="1"/>
  <c r="BE52" i="119" s="1"/>
  <c r="BF52" i="119" s="1"/>
  <c r="BG52" i="119" s="1"/>
  <c r="BH52" i="119" s="1"/>
  <c r="BI52" i="119" s="1"/>
  <c r="BJ52" i="119" s="1"/>
  <c r="BK52" i="119" s="1"/>
  <c r="BL52" i="119" s="1"/>
  <c r="BM52" i="119" s="1"/>
  <c r="BN52" i="119" s="1"/>
  <c r="BO52" i="119" s="1"/>
  <c r="BP52" i="119" s="1"/>
  <c r="BQ52" i="119" s="1"/>
  <c r="BR52" i="119" s="1"/>
  <c r="BS52" i="119" s="1"/>
  <c r="BT52" i="119" s="1"/>
  <c r="BU52" i="119" s="1"/>
  <c r="BV52" i="119" s="1"/>
  <c r="BW52" i="119" s="1"/>
  <c r="BX52" i="119" s="1"/>
  <c r="BY52" i="119" s="1"/>
  <c r="BZ52" i="119" s="1"/>
  <c r="CA52" i="119" s="1"/>
  <c r="CB52" i="119" s="1"/>
  <c r="CC52" i="119" s="1"/>
  <c r="CD52" i="119" s="1"/>
  <c r="CE52" i="119" s="1"/>
  <c r="CF52" i="119" s="1"/>
  <c r="CG52" i="119" s="1"/>
  <c r="CH52" i="119" s="1"/>
  <c r="D26" i="129" l="1"/>
  <c r="F56" i="134"/>
  <c r="F22" i="134"/>
  <c r="F39" i="134"/>
  <c r="D56" i="134"/>
  <c r="D22" i="134"/>
  <c r="D39" i="134"/>
  <c r="H43" i="125"/>
  <c r="D43" i="125"/>
  <c r="C43" i="125"/>
  <c r="B43" i="125"/>
  <c r="D34" i="125"/>
  <c r="D5" i="125"/>
  <c r="D13" i="119"/>
  <c r="B15" i="134" s="1"/>
  <c r="D14" i="119"/>
  <c r="B32" i="135" s="1"/>
  <c r="D15" i="119"/>
  <c r="B22" i="135" s="1"/>
  <c r="D16" i="119"/>
  <c r="B23" i="135" s="1"/>
  <c r="D17" i="119"/>
  <c r="B17" i="134" s="1"/>
  <c r="D18" i="119"/>
  <c r="B14" i="134" s="1"/>
  <c r="D19" i="119"/>
  <c r="B28" i="135" s="1"/>
  <c r="D20" i="119"/>
  <c r="B14" i="135" s="1"/>
  <c r="D21" i="119"/>
  <c r="B21" i="129" s="1"/>
  <c r="D22" i="119"/>
  <c r="B25" i="135" s="1"/>
  <c r="D23" i="119"/>
  <c r="B13" i="135" s="1"/>
  <c r="D24" i="119"/>
  <c r="B19" i="134" s="1"/>
  <c r="D25" i="119"/>
  <c r="B19" i="135" s="1"/>
  <c r="D26" i="119"/>
  <c r="B17" i="135" s="1"/>
  <c r="D27" i="119"/>
  <c r="B20" i="134" s="1"/>
  <c r="D28" i="119"/>
  <c r="B18" i="135" s="1"/>
  <c r="D29" i="119"/>
  <c r="B19" i="129" s="1"/>
  <c r="D30" i="119"/>
  <c r="B16" i="129" s="1"/>
  <c r="D31" i="119"/>
  <c r="B15" i="129" s="1"/>
  <c r="D32" i="119"/>
  <c r="B17" i="129" s="1"/>
  <c r="D33" i="119"/>
  <c r="B18" i="129" s="1"/>
  <c r="D34" i="119"/>
  <c r="B24" i="129" s="1"/>
  <c r="D35" i="119"/>
  <c r="B22" i="129" s="1"/>
  <c r="D36" i="119"/>
  <c r="B20" i="129" s="1"/>
  <c r="D37" i="119"/>
  <c r="B31" i="135" s="1"/>
  <c r="D38" i="119"/>
  <c r="B16" i="134" s="1"/>
  <c r="D39" i="119"/>
  <c r="B29" i="135" s="1"/>
  <c r="D40" i="119"/>
  <c r="B23" i="129" s="1"/>
  <c r="D41" i="119"/>
  <c r="B20" i="135" s="1"/>
  <c r="D42" i="119"/>
  <c r="B21" i="134" s="1"/>
  <c r="D43" i="119"/>
  <c r="B18" i="134" s="1"/>
  <c r="D44" i="119"/>
  <c r="B13" i="134" s="1"/>
  <c r="D45" i="119"/>
  <c r="B30" i="135" s="1"/>
  <c r="D46" i="119"/>
  <c r="B15" i="135" s="1"/>
  <c r="D47" i="119"/>
  <c r="B27" i="135" s="1"/>
  <c r="D48" i="119"/>
  <c r="B16" i="135" s="1"/>
  <c r="D49" i="119"/>
  <c r="B24" i="135" s="1"/>
  <c r="D50" i="119"/>
  <c r="B26" i="135" s="1"/>
  <c r="D12" i="119"/>
  <c r="B21" i="135" s="1"/>
  <c r="S37" i="119"/>
  <c r="T37" i="119"/>
  <c r="U37" i="119"/>
  <c r="Z37" i="119"/>
  <c r="AA37" i="119"/>
  <c r="AB37" i="119"/>
  <c r="AG37" i="119"/>
  <c r="AH37" i="119"/>
  <c r="AI37" i="119"/>
  <c r="AN37" i="119"/>
  <c r="AO37" i="119"/>
  <c r="AP37" i="119"/>
  <c r="BH37" i="119"/>
  <c r="BT37" i="119" s="1"/>
  <c r="L37" i="119"/>
  <c r="M37" i="119"/>
  <c r="N37" i="119"/>
  <c r="N27" i="124"/>
  <c r="O27" i="124" s="1"/>
  <c r="N27" i="123"/>
  <c r="O27" i="123" s="1"/>
  <c r="O27" i="113"/>
  <c r="P27" i="113" s="1"/>
  <c r="O28" i="113"/>
  <c r="P28" i="113" s="1"/>
  <c r="CM38" i="119" s="1"/>
  <c r="O29" i="113"/>
  <c r="P29" i="113" s="1"/>
  <c r="CM39" i="119" s="1"/>
  <c r="O30" i="113"/>
  <c r="P30" i="113" s="1"/>
  <c r="CM40" i="119" s="1"/>
  <c r="O31" i="113"/>
  <c r="P31" i="113" s="1"/>
  <c r="CM41" i="119" s="1"/>
  <c r="O32" i="113"/>
  <c r="P32" i="113" s="1"/>
  <c r="CM42" i="119" s="1"/>
  <c r="O33" i="113"/>
  <c r="P33" i="113" s="1"/>
  <c r="CM43" i="119" s="1"/>
  <c r="O34" i="113"/>
  <c r="P34" i="113" s="1"/>
  <c r="CM44" i="119" s="1"/>
  <c r="O35" i="113"/>
  <c r="P35" i="113" s="1"/>
  <c r="CM45" i="119" s="1"/>
  <c r="O36" i="113"/>
  <c r="P36" i="113" s="1"/>
  <c r="CM46" i="119" s="1"/>
  <c r="O38" i="113"/>
  <c r="P38" i="113" s="1"/>
  <c r="CM48" i="119" s="1"/>
  <c r="O39" i="113"/>
  <c r="P39" i="113" s="1"/>
  <c r="CM49" i="119" s="1"/>
  <c r="O40" i="113"/>
  <c r="P40" i="113" s="1"/>
  <c r="CM50" i="119" s="1"/>
  <c r="O26" i="113"/>
  <c r="E37" i="119"/>
  <c r="F37" i="119"/>
  <c r="G37" i="119"/>
  <c r="E37" i="113"/>
  <c r="O37" i="113" s="1"/>
  <c r="P37" i="113" s="1"/>
  <c r="CM47" i="119" s="1"/>
  <c r="H47" i="134" l="1"/>
  <c r="G47" i="134"/>
  <c r="G51" i="134"/>
  <c r="G50" i="134"/>
  <c r="H48" i="134"/>
  <c r="H50" i="134"/>
  <c r="G48" i="134"/>
  <c r="H54" i="134"/>
  <c r="H52" i="134"/>
  <c r="G55" i="134"/>
  <c r="H53" i="134"/>
  <c r="H55" i="134"/>
  <c r="G53" i="134"/>
  <c r="G49" i="134"/>
  <c r="G54" i="134"/>
  <c r="G52" i="134"/>
  <c r="H49" i="134"/>
  <c r="H51" i="134"/>
  <c r="B25" i="129"/>
  <c r="J37" i="113"/>
  <c r="CF37" i="119"/>
  <c r="N37" i="124"/>
  <c r="O37" i="124" s="1"/>
  <c r="N38" i="124"/>
  <c r="O38" i="124" s="1"/>
  <c r="N39" i="124"/>
  <c r="O39" i="124" s="1"/>
  <c r="N40" i="124"/>
  <c r="O40" i="124" s="1"/>
  <c r="N3" i="124"/>
  <c r="O3" i="124" s="1"/>
  <c r="N4" i="124"/>
  <c r="O4" i="124" s="1"/>
  <c r="N5" i="124"/>
  <c r="O5" i="124" s="1"/>
  <c r="N6" i="124"/>
  <c r="O6" i="124" s="1"/>
  <c r="N7" i="124"/>
  <c r="O7" i="124" s="1"/>
  <c r="N8" i="124"/>
  <c r="O8" i="124" s="1"/>
  <c r="N9" i="124"/>
  <c r="O9" i="124" s="1"/>
  <c r="N10" i="124"/>
  <c r="O10" i="124" s="1"/>
  <c r="N11" i="124"/>
  <c r="O11" i="124" s="1"/>
  <c r="N12" i="124"/>
  <c r="O12" i="124" s="1"/>
  <c r="N13" i="124"/>
  <c r="O13" i="124" s="1"/>
  <c r="N14" i="124"/>
  <c r="O14" i="124" s="1"/>
  <c r="N15" i="124"/>
  <c r="O15" i="124" s="1"/>
  <c r="N16" i="124"/>
  <c r="O16" i="124"/>
  <c r="N17" i="124"/>
  <c r="O17" i="124" s="1"/>
  <c r="N18" i="124"/>
  <c r="O18" i="124" s="1"/>
  <c r="N20" i="124"/>
  <c r="O20" i="124" s="1"/>
  <c r="N21" i="124"/>
  <c r="O21" i="124" s="1"/>
  <c r="N22" i="124"/>
  <c r="O22" i="124" s="1"/>
  <c r="N23" i="124"/>
  <c r="O23" i="124" s="1"/>
  <c r="N25" i="124"/>
  <c r="O25" i="124" s="1"/>
  <c r="N28" i="124"/>
  <c r="O28" i="124" s="1"/>
  <c r="N29" i="124"/>
  <c r="O29" i="124" s="1"/>
  <c r="N30" i="124"/>
  <c r="O30" i="124" s="1"/>
  <c r="N31" i="124"/>
  <c r="O31" i="124" s="1"/>
  <c r="N32" i="124"/>
  <c r="O32" i="124" s="1"/>
  <c r="N33" i="124"/>
  <c r="O33" i="124" s="1"/>
  <c r="N34" i="124"/>
  <c r="O34" i="124" s="1"/>
  <c r="N35" i="124"/>
  <c r="O35" i="124" s="1"/>
  <c r="N36" i="124"/>
  <c r="O36" i="124" s="1"/>
  <c r="N2" i="124"/>
  <c r="O2" i="124" s="1"/>
  <c r="N3" i="123"/>
  <c r="O3" i="123" s="1"/>
  <c r="N4" i="123"/>
  <c r="O4" i="123" s="1"/>
  <c r="N5" i="123"/>
  <c r="O5" i="123" s="1"/>
  <c r="N6" i="123"/>
  <c r="O6" i="123" s="1"/>
  <c r="N7" i="123"/>
  <c r="O7" i="123" s="1"/>
  <c r="N8" i="123"/>
  <c r="O8" i="123" s="1"/>
  <c r="N9" i="123"/>
  <c r="O9" i="123" s="1"/>
  <c r="N10" i="123"/>
  <c r="O10" i="123" s="1"/>
  <c r="N11" i="123"/>
  <c r="O11" i="123" s="1"/>
  <c r="N12" i="123"/>
  <c r="O12" i="123" s="1"/>
  <c r="N13" i="123"/>
  <c r="O13" i="123" s="1"/>
  <c r="N14" i="123"/>
  <c r="O14" i="123" s="1"/>
  <c r="N15" i="123"/>
  <c r="O15" i="123" s="1"/>
  <c r="N16" i="123"/>
  <c r="O16" i="123" s="1"/>
  <c r="N17" i="123"/>
  <c r="O17" i="123" s="1"/>
  <c r="N18" i="123"/>
  <c r="O18" i="123" s="1"/>
  <c r="N20" i="123"/>
  <c r="O20" i="123" s="1"/>
  <c r="N21" i="123"/>
  <c r="O21" i="123" s="1"/>
  <c r="N22" i="123"/>
  <c r="O22" i="123" s="1"/>
  <c r="N23" i="123"/>
  <c r="O23" i="123" s="1"/>
  <c r="N25" i="123"/>
  <c r="O25" i="123" s="1"/>
  <c r="N28" i="123"/>
  <c r="O28" i="123" s="1"/>
  <c r="N29" i="123"/>
  <c r="O29" i="123" s="1"/>
  <c r="N30" i="123"/>
  <c r="O30" i="123" s="1"/>
  <c r="N31" i="123"/>
  <c r="O31" i="123" s="1"/>
  <c r="N32" i="123"/>
  <c r="O32" i="123" s="1"/>
  <c r="N33" i="123"/>
  <c r="O33" i="123" s="1"/>
  <c r="N34" i="123"/>
  <c r="O34" i="123" s="1"/>
  <c r="N35" i="123"/>
  <c r="O35" i="123" s="1"/>
  <c r="N36" i="123"/>
  <c r="O36" i="123" s="1"/>
  <c r="N37" i="123"/>
  <c r="O37" i="123" s="1"/>
  <c r="N38" i="123"/>
  <c r="O38" i="123" s="1"/>
  <c r="N39" i="123"/>
  <c r="O39" i="123" s="1"/>
  <c r="N40" i="123"/>
  <c r="O40" i="123" s="1"/>
  <c r="N2" i="123"/>
  <c r="O2" i="123" s="1"/>
  <c r="O3" i="113"/>
  <c r="P3" i="113" s="1"/>
  <c r="CM13" i="119" s="1"/>
  <c r="O4" i="113"/>
  <c r="P4" i="113" s="1"/>
  <c r="CM14" i="119" s="1"/>
  <c r="O5" i="113"/>
  <c r="P5" i="113" s="1"/>
  <c r="CM15" i="119" s="1"/>
  <c r="O6" i="113"/>
  <c r="P6" i="113" s="1"/>
  <c r="CM16" i="119" s="1"/>
  <c r="O7" i="113"/>
  <c r="P7" i="113" s="1"/>
  <c r="CM17" i="119" s="1"/>
  <c r="O8" i="113"/>
  <c r="P8" i="113" s="1"/>
  <c r="CM18" i="119" s="1"/>
  <c r="O9" i="113"/>
  <c r="P9" i="113" s="1"/>
  <c r="CM19" i="119" s="1"/>
  <c r="O10" i="113"/>
  <c r="P10" i="113" s="1"/>
  <c r="CM20" i="119" s="1"/>
  <c r="O11" i="113"/>
  <c r="P11" i="113" s="1"/>
  <c r="CM21" i="119" s="1"/>
  <c r="O12" i="113"/>
  <c r="P12" i="113" s="1"/>
  <c r="CM22" i="119" s="1"/>
  <c r="O13" i="113"/>
  <c r="P13" i="113" s="1"/>
  <c r="CM23" i="119" s="1"/>
  <c r="O14" i="113"/>
  <c r="P14" i="113" s="1"/>
  <c r="CM24" i="119" s="1"/>
  <c r="O15" i="113"/>
  <c r="P15" i="113" s="1"/>
  <c r="CM25" i="119" s="1"/>
  <c r="O16" i="113"/>
  <c r="P16" i="113" s="1"/>
  <c r="CM26" i="119" s="1"/>
  <c r="O17" i="113"/>
  <c r="P17" i="113" s="1"/>
  <c r="CM27" i="119" s="1"/>
  <c r="O18" i="113"/>
  <c r="P18" i="113" s="1"/>
  <c r="CM28" i="119" s="1"/>
  <c r="O19" i="113"/>
  <c r="P19" i="113" s="1"/>
  <c r="CM29" i="119" s="1"/>
  <c r="O20" i="113"/>
  <c r="P20" i="113" s="1"/>
  <c r="CM30" i="119" s="1"/>
  <c r="O21" i="113"/>
  <c r="P21" i="113" s="1"/>
  <c r="CM31" i="119" s="1"/>
  <c r="O22" i="113"/>
  <c r="P22" i="113" s="1"/>
  <c r="CM32" i="119" s="1"/>
  <c r="O23" i="113"/>
  <c r="P23" i="113" s="1"/>
  <c r="CM33" i="119" s="1"/>
  <c r="O24" i="113"/>
  <c r="P24" i="113" s="1"/>
  <c r="CM34" i="119" s="1"/>
  <c r="O25" i="113"/>
  <c r="P25" i="113" s="1"/>
  <c r="CM35" i="119" s="1"/>
  <c r="P26" i="113"/>
  <c r="CM36" i="119" s="1"/>
  <c r="O2" i="113"/>
  <c r="P2" i="113" s="1"/>
  <c r="CM12" i="119" s="1"/>
  <c r="F26" i="115"/>
  <c r="F24" i="115"/>
  <c r="F19" i="115"/>
  <c r="F26" i="124"/>
  <c r="F24" i="124"/>
  <c r="F19" i="124"/>
  <c r="E19" i="115"/>
  <c r="U19" i="129" s="1"/>
  <c r="AC19" i="129" s="1"/>
  <c r="E19" i="114"/>
  <c r="F26" i="123"/>
  <c r="F24" i="123"/>
  <c r="F19" i="123"/>
  <c r="J41" i="113" l="1"/>
  <c r="D27" i="135"/>
  <c r="D33" i="135" s="1"/>
  <c r="J44" i="113"/>
  <c r="M47" i="134"/>
  <c r="N47" i="134" s="1"/>
  <c r="P47" i="134" s="1"/>
  <c r="M49" i="134"/>
  <c r="N49" i="134" s="1"/>
  <c r="P49" i="134" s="1"/>
  <c r="I48" i="134"/>
  <c r="J48" i="134" s="1"/>
  <c r="L48" i="134" s="1"/>
  <c r="M53" i="134"/>
  <c r="N53" i="134" s="1"/>
  <c r="P53" i="134" s="1"/>
  <c r="I54" i="134"/>
  <c r="J54" i="134" s="1"/>
  <c r="L54" i="134" s="1"/>
  <c r="M52" i="134"/>
  <c r="N52" i="134" s="1"/>
  <c r="P52" i="134" s="1"/>
  <c r="I55" i="134"/>
  <c r="J55" i="134" s="1"/>
  <c r="L55" i="134" s="1"/>
  <c r="I50" i="134"/>
  <c r="J50" i="134" s="1"/>
  <c r="L50" i="134" s="1"/>
  <c r="I49" i="134"/>
  <c r="J49" i="134" s="1"/>
  <c r="L49" i="134" s="1"/>
  <c r="M50" i="134"/>
  <c r="N50" i="134" s="1"/>
  <c r="P50" i="134" s="1"/>
  <c r="I52" i="134"/>
  <c r="J52" i="134" s="1"/>
  <c r="L52" i="134" s="1"/>
  <c r="M48" i="134"/>
  <c r="H56" i="134"/>
  <c r="M51" i="134"/>
  <c r="N51" i="134" s="1"/>
  <c r="P51" i="134" s="1"/>
  <c r="I47" i="134"/>
  <c r="I53" i="134"/>
  <c r="J53" i="134" s="1"/>
  <c r="L53" i="134" s="1"/>
  <c r="I51" i="134"/>
  <c r="G56" i="134"/>
  <c r="M55" i="134"/>
  <c r="N55" i="134" s="1"/>
  <c r="P55" i="134" s="1"/>
  <c r="M54" i="134"/>
  <c r="N54" i="134" s="1"/>
  <c r="P54" i="134" s="1"/>
  <c r="X27" i="135"/>
  <c r="AA27" i="135"/>
  <c r="S33" i="135"/>
  <c r="W27" i="135"/>
  <c r="AA19" i="129"/>
  <c r="Y19" i="129"/>
  <c r="G13" i="119"/>
  <c r="G14" i="119"/>
  <c r="G15" i="119"/>
  <c r="G16" i="119"/>
  <c r="G17" i="119"/>
  <c r="G18" i="119"/>
  <c r="G19" i="119"/>
  <c r="G20" i="119"/>
  <c r="G21" i="119"/>
  <c r="G22" i="119"/>
  <c r="G23" i="119"/>
  <c r="G24" i="119"/>
  <c r="G25" i="119"/>
  <c r="G26" i="119"/>
  <c r="G27" i="119"/>
  <c r="G28" i="119"/>
  <c r="G29" i="119"/>
  <c r="G30" i="119"/>
  <c r="G31" i="119"/>
  <c r="G32" i="119"/>
  <c r="G33" i="119"/>
  <c r="G34" i="119"/>
  <c r="G35" i="119"/>
  <c r="G36" i="119"/>
  <c r="G38" i="119"/>
  <c r="G39" i="119"/>
  <c r="G40" i="119"/>
  <c r="G41" i="119"/>
  <c r="G42" i="119"/>
  <c r="G43" i="119"/>
  <c r="G44" i="119"/>
  <c r="G45" i="119"/>
  <c r="G46" i="119"/>
  <c r="G47" i="119"/>
  <c r="G48" i="119"/>
  <c r="G49" i="119"/>
  <c r="G50" i="119"/>
  <c r="G12" i="119"/>
  <c r="F13" i="119"/>
  <c r="F14" i="119"/>
  <c r="F15" i="119"/>
  <c r="F16" i="119"/>
  <c r="F17" i="119"/>
  <c r="F18" i="119"/>
  <c r="F19" i="119"/>
  <c r="F20" i="119"/>
  <c r="F21" i="119"/>
  <c r="F22" i="119"/>
  <c r="F23" i="119"/>
  <c r="F24" i="119"/>
  <c r="F25" i="119"/>
  <c r="F26" i="119"/>
  <c r="F27" i="119"/>
  <c r="F28" i="119"/>
  <c r="F29" i="119"/>
  <c r="F30" i="119"/>
  <c r="F31" i="119"/>
  <c r="F32" i="119"/>
  <c r="F33" i="119"/>
  <c r="F34" i="119"/>
  <c r="F35" i="119"/>
  <c r="F36" i="119"/>
  <c r="F38" i="119"/>
  <c r="F39" i="119"/>
  <c r="F40" i="119"/>
  <c r="F41" i="119"/>
  <c r="F42" i="119"/>
  <c r="F43" i="119"/>
  <c r="F44" i="119"/>
  <c r="F45" i="119"/>
  <c r="F46" i="119"/>
  <c r="F47" i="119"/>
  <c r="F48" i="119"/>
  <c r="F49" i="119"/>
  <c r="F50" i="119"/>
  <c r="F12" i="119"/>
  <c r="E26" i="115"/>
  <c r="U20" i="129" s="1"/>
  <c r="AC20" i="129" s="1"/>
  <c r="D26" i="115"/>
  <c r="U41" i="129" s="1"/>
  <c r="AC41" i="129" s="1"/>
  <c r="E24" i="115"/>
  <c r="U24" i="129" s="1"/>
  <c r="AC24" i="129" s="1"/>
  <c r="D24" i="115"/>
  <c r="U45" i="129" s="1"/>
  <c r="AC45" i="129" s="1"/>
  <c r="C24" i="115"/>
  <c r="U63" i="129" s="1"/>
  <c r="AC63" i="129" s="1"/>
  <c r="C23" i="115"/>
  <c r="U57" i="129" s="1"/>
  <c r="AC57" i="129" s="1"/>
  <c r="D19" i="115"/>
  <c r="U40" i="129" s="1"/>
  <c r="AC40" i="129" s="1"/>
  <c r="C19" i="115"/>
  <c r="U58" i="129" s="1"/>
  <c r="AC58" i="129" s="1"/>
  <c r="D26" i="114"/>
  <c r="C26" i="114"/>
  <c r="D24" i="114"/>
  <c r="C24" i="114"/>
  <c r="B24" i="114"/>
  <c r="B23" i="114"/>
  <c r="D19" i="114"/>
  <c r="C19" i="114"/>
  <c r="B19" i="114"/>
  <c r="F41" i="124"/>
  <c r="E26" i="124"/>
  <c r="N26" i="124" s="1"/>
  <c r="O26" i="124" s="1"/>
  <c r="D26" i="124"/>
  <c r="E24" i="124"/>
  <c r="N24" i="124" s="1"/>
  <c r="O24" i="124" s="1"/>
  <c r="D24" i="124"/>
  <c r="J24" i="124" s="1"/>
  <c r="C24" i="124"/>
  <c r="C23" i="124"/>
  <c r="E19" i="124"/>
  <c r="E41" i="124" s="1"/>
  <c r="D19" i="124"/>
  <c r="C19" i="124"/>
  <c r="F41" i="123"/>
  <c r="E26" i="123"/>
  <c r="N26" i="123" s="1"/>
  <c r="O26" i="123" s="1"/>
  <c r="D26" i="123"/>
  <c r="E24" i="123"/>
  <c r="N24" i="123" s="1"/>
  <c r="O24" i="123" s="1"/>
  <c r="D24" i="123"/>
  <c r="J24" i="123" s="1"/>
  <c r="E24" i="129" s="1"/>
  <c r="C24" i="123"/>
  <c r="C23" i="123"/>
  <c r="E19" i="123"/>
  <c r="D19" i="123"/>
  <c r="J19" i="123" s="1"/>
  <c r="C19" i="123"/>
  <c r="XFD42" i="121"/>
  <c r="F41" i="115"/>
  <c r="E12" i="119"/>
  <c r="E13" i="119"/>
  <c r="E14" i="119"/>
  <c r="E15" i="119"/>
  <c r="E16" i="119"/>
  <c r="E17" i="119"/>
  <c r="E18" i="119"/>
  <c r="E19" i="119"/>
  <c r="E20" i="119"/>
  <c r="E21" i="119"/>
  <c r="E22" i="119"/>
  <c r="E23" i="119"/>
  <c r="E24" i="119"/>
  <c r="E25" i="119"/>
  <c r="E26" i="119"/>
  <c r="E27" i="119"/>
  <c r="E28" i="119"/>
  <c r="E29" i="119"/>
  <c r="E30" i="119"/>
  <c r="E31" i="119"/>
  <c r="E32" i="119"/>
  <c r="E33" i="119"/>
  <c r="E34" i="119"/>
  <c r="E35" i="119"/>
  <c r="E36" i="119"/>
  <c r="E38" i="119"/>
  <c r="E39" i="119"/>
  <c r="E40" i="119"/>
  <c r="E41" i="119"/>
  <c r="E42" i="119"/>
  <c r="E43" i="119"/>
  <c r="E44" i="119"/>
  <c r="E45" i="119"/>
  <c r="E46" i="119"/>
  <c r="E47" i="119"/>
  <c r="E48" i="119"/>
  <c r="E49" i="119"/>
  <c r="E50" i="119"/>
  <c r="AC47" i="129" l="1"/>
  <c r="AC65" i="129"/>
  <c r="AC26" i="129"/>
  <c r="N48" i="134"/>
  <c r="P48" i="134" s="1"/>
  <c r="P56" i="134" s="1"/>
  <c r="AC28" i="129"/>
  <c r="J51" i="134"/>
  <c r="L51" i="134" s="1"/>
  <c r="M56" i="134"/>
  <c r="N56" i="134" s="1"/>
  <c r="I56" i="134"/>
  <c r="J47" i="134"/>
  <c r="L47" i="134" s="1"/>
  <c r="F24" i="129"/>
  <c r="E19" i="129"/>
  <c r="W35" i="135"/>
  <c r="W36" i="135"/>
  <c r="W34" i="135"/>
  <c r="W33" i="135"/>
  <c r="X33" i="135"/>
  <c r="AA33" i="135"/>
  <c r="AA34" i="135"/>
  <c r="AA36" i="135"/>
  <c r="AA35" i="135"/>
  <c r="X34" i="135"/>
  <c r="X36" i="135"/>
  <c r="X35" i="135"/>
  <c r="J26" i="123"/>
  <c r="E20" i="129" s="1"/>
  <c r="C41" i="124"/>
  <c r="D41" i="124"/>
  <c r="J19" i="124"/>
  <c r="F19" i="129" s="1"/>
  <c r="J26" i="124"/>
  <c r="F20" i="129" s="1"/>
  <c r="AA41" i="129"/>
  <c r="Y41" i="129"/>
  <c r="AA20" i="129"/>
  <c r="Y20" i="129"/>
  <c r="U25" i="129"/>
  <c r="Y58" i="129"/>
  <c r="AA58" i="129"/>
  <c r="AA57" i="129"/>
  <c r="U64" i="129"/>
  <c r="Y57" i="129"/>
  <c r="Y40" i="129"/>
  <c r="AA40" i="129"/>
  <c r="U46" i="129"/>
  <c r="AA63" i="129"/>
  <c r="Y63" i="129"/>
  <c r="Y45" i="129"/>
  <c r="AA45" i="129"/>
  <c r="Y24" i="129"/>
  <c r="AA24" i="129"/>
  <c r="E51" i="119"/>
  <c r="N41" i="124"/>
  <c r="O41" i="124" s="1"/>
  <c r="N19" i="124"/>
  <c r="O19" i="124" s="1"/>
  <c r="C41" i="123"/>
  <c r="E41" i="123"/>
  <c r="N41" i="123" s="1"/>
  <c r="O41" i="123" s="1"/>
  <c r="N19" i="123"/>
  <c r="O19" i="123" s="1"/>
  <c r="D41" i="123"/>
  <c r="D37" i="121"/>
  <c r="C37" i="121"/>
  <c r="K37" i="121" s="1"/>
  <c r="E32" i="121"/>
  <c r="AA21" i="134" s="1"/>
  <c r="E30" i="121"/>
  <c r="E14" i="121"/>
  <c r="D7" i="121"/>
  <c r="C7" i="121"/>
  <c r="C41" i="115"/>
  <c r="B41" i="114"/>
  <c r="D41" i="114"/>
  <c r="C41" i="114"/>
  <c r="AF23" i="135" l="1"/>
  <c r="AF25" i="135"/>
  <c r="AF29" i="135"/>
  <c r="AF13" i="135"/>
  <c r="AG13" i="135" s="1"/>
  <c r="AF15" i="135"/>
  <c r="AG15" i="135" s="1"/>
  <c r="AF26" i="135"/>
  <c r="AF17" i="135"/>
  <c r="AG17" i="135" s="1"/>
  <c r="AF16" i="135"/>
  <c r="AG16" i="135" s="1"/>
  <c r="AF31" i="135"/>
  <c r="AF32" i="135"/>
  <c r="AF19" i="135"/>
  <c r="AF21" i="135"/>
  <c r="AG21" i="135" s="1"/>
  <c r="AF14" i="135"/>
  <c r="AG14" i="135" s="1"/>
  <c r="AF30" i="135"/>
  <c r="AG30" i="135" s="1"/>
  <c r="AF22" i="135"/>
  <c r="AF28" i="135"/>
  <c r="AG28" i="135" s="1"/>
  <c r="AF20" i="135"/>
  <c r="AF18" i="135"/>
  <c r="AF24" i="135"/>
  <c r="AG24" i="135" s="1"/>
  <c r="AF27" i="135"/>
  <c r="AG27" i="135" s="1"/>
  <c r="C55" i="135"/>
  <c r="K44" i="121"/>
  <c r="J41" i="123"/>
  <c r="J42" i="123"/>
  <c r="AJ21" i="129"/>
  <c r="AJ15" i="129"/>
  <c r="AJ18" i="129"/>
  <c r="AJ20" i="129"/>
  <c r="AJ22" i="129"/>
  <c r="AJ19" i="129"/>
  <c r="AJ24" i="129"/>
  <c r="AJ17" i="129"/>
  <c r="AJ16" i="129"/>
  <c r="AJ23" i="129"/>
  <c r="L56" i="134"/>
  <c r="AC49" i="129"/>
  <c r="J42" i="124"/>
  <c r="Y27" i="129"/>
  <c r="F25" i="129"/>
  <c r="K41" i="123"/>
  <c r="L41" i="123"/>
  <c r="E25" i="129"/>
  <c r="Y28" i="129"/>
  <c r="AF24" i="129" s="1"/>
  <c r="Y26" i="129"/>
  <c r="Z19" i="134"/>
  <c r="AB19" i="134"/>
  <c r="AA19" i="134"/>
  <c r="AA34" i="134"/>
  <c r="Z34" i="134"/>
  <c r="AB34" i="134"/>
  <c r="AB21" i="134"/>
  <c r="Z21" i="134"/>
  <c r="AA23" i="129"/>
  <c r="R25" i="129"/>
  <c r="AA25" i="129" s="1"/>
  <c r="AB23" i="129"/>
  <c r="Z23" i="129"/>
  <c r="AA55" i="135"/>
  <c r="Z55" i="135"/>
  <c r="Y55" i="135"/>
  <c r="R61" i="135"/>
  <c r="K32" i="121"/>
  <c r="C38" i="134" s="1"/>
  <c r="J32" i="121"/>
  <c r="C21" i="134" s="1"/>
  <c r="D41" i="121"/>
  <c r="J7" i="121"/>
  <c r="E41" i="121"/>
  <c r="K14" i="121"/>
  <c r="C36" i="134" s="1"/>
  <c r="J14" i="121"/>
  <c r="C19" i="134" s="1"/>
  <c r="C41" i="121"/>
  <c r="K7" i="121"/>
  <c r="K30" i="121"/>
  <c r="J30" i="121"/>
  <c r="J37" i="121"/>
  <c r="AC46" i="129"/>
  <c r="Y46" i="129"/>
  <c r="Y25" i="129"/>
  <c r="AC25" i="129"/>
  <c r="Y47" i="129"/>
  <c r="Y48" i="129"/>
  <c r="Y49" i="129"/>
  <c r="AF40" i="129" s="1"/>
  <c r="AC48" i="129"/>
  <c r="Y66" i="129"/>
  <c r="Y67" i="129"/>
  <c r="AF57" i="129" s="1"/>
  <c r="Y65" i="129"/>
  <c r="AC64" i="129"/>
  <c r="AA64" i="129"/>
  <c r="Y64" i="129"/>
  <c r="AA65" i="129"/>
  <c r="AA67" i="129"/>
  <c r="AH63" i="129" s="1"/>
  <c r="AA66" i="129"/>
  <c r="AC66" i="129"/>
  <c r="AC67" i="129"/>
  <c r="AC27" i="129"/>
  <c r="D41" i="115"/>
  <c r="E41" i="115"/>
  <c r="E41" i="113"/>
  <c r="D41" i="113"/>
  <c r="C41" i="113"/>
  <c r="E26" i="129" l="1"/>
  <c r="C17" i="134"/>
  <c r="J43" i="121"/>
  <c r="C27" i="135"/>
  <c r="J44" i="121"/>
  <c r="C44" i="129"/>
  <c r="K42" i="121"/>
  <c r="C34" i="134"/>
  <c r="K43" i="121"/>
  <c r="C23" i="129"/>
  <c r="J42" i="121"/>
  <c r="C61" i="135"/>
  <c r="H55" i="135" s="1"/>
  <c r="AH62" i="129"/>
  <c r="AH54" i="129"/>
  <c r="AH61" i="129"/>
  <c r="AH59" i="129"/>
  <c r="AH55" i="129"/>
  <c r="AH60" i="129"/>
  <c r="AH56" i="129"/>
  <c r="AA26" i="129"/>
  <c r="AH57" i="129"/>
  <c r="AH58" i="129"/>
  <c r="AF20" i="129"/>
  <c r="AJ39" i="129"/>
  <c r="AJ43" i="129"/>
  <c r="AJ36" i="129"/>
  <c r="AJ38" i="129"/>
  <c r="AJ44" i="129"/>
  <c r="AJ37" i="129"/>
  <c r="AJ42" i="129"/>
  <c r="AJ40" i="129"/>
  <c r="AJ45" i="129"/>
  <c r="AJ41" i="129"/>
  <c r="AJ60" i="129"/>
  <c r="AJ62" i="129"/>
  <c r="AJ54" i="129"/>
  <c r="AJ55" i="129"/>
  <c r="AJ56" i="129"/>
  <c r="AJ59" i="129"/>
  <c r="AJ61" i="129"/>
  <c r="AJ63" i="129"/>
  <c r="AJ58" i="129"/>
  <c r="AJ57" i="129"/>
  <c r="AF39" i="129"/>
  <c r="AF38" i="129"/>
  <c r="AF37" i="129"/>
  <c r="AF42" i="129"/>
  <c r="AF36" i="129"/>
  <c r="AF44" i="129"/>
  <c r="AF43" i="129"/>
  <c r="AF15" i="129"/>
  <c r="AF17" i="129"/>
  <c r="AF16" i="129"/>
  <c r="AF23" i="129"/>
  <c r="AF22" i="129"/>
  <c r="AF18" i="129"/>
  <c r="AF21" i="129"/>
  <c r="AF19" i="129"/>
  <c r="AF45" i="129"/>
  <c r="AF41" i="129"/>
  <c r="AG25" i="135"/>
  <c r="AG22" i="135"/>
  <c r="AG18" i="135"/>
  <c r="AG32" i="135"/>
  <c r="AG23" i="135"/>
  <c r="AG20" i="135"/>
  <c r="AG19" i="135"/>
  <c r="AG31" i="135"/>
  <c r="AG29" i="135"/>
  <c r="AG26" i="135"/>
  <c r="F26" i="129"/>
  <c r="AA25" i="134"/>
  <c r="AH19" i="134" s="1"/>
  <c r="AB25" i="134"/>
  <c r="AI19" i="134" s="1"/>
  <c r="Z25" i="134"/>
  <c r="AG19" i="134" s="1"/>
  <c r="AB24" i="134"/>
  <c r="AB23" i="134"/>
  <c r="C46" i="129"/>
  <c r="AC33" i="135"/>
  <c r="AF33" i="135"/>
  <c r="AC89" i="135"/>
  <c r="AC61" i="135"/>
  <c r="AB61" i="135"/>
  <c r="AB89" i="135"/>
  <c r="AB33" i="135"/>
  <c r="AA28" i="129"/>
  <c r="AH23" i="129" s="1"/>
  <c r="Z61" i="135"/>
  <c r="AA61" i="135"/>
  <c r="Y61" i="135"/>
  <c r="Z64" i="135"/>
  <c r="Z63" i="135"/>
  <c r="Z62" i="135"/>
  <c r="AA63" i="135"/>
  <c r="AA62" i="135"/>
  <c r="AA64" i="135"/>
  <c r="AB22" i="134"/>
  <c r="AA22" i="134"/>
  <c r="Z22" i="134"/>
  <c r="Z27" i="129"/>
  <c r="Z26" i="129"/>
  <c r="Z28" i="129"/>
  <c r="AA24" i="134"/>
  <c r="AA23" i="134"/>
  <c r="AA27" i="129"/>
  <c r="Y64" i="135"/>
  <c r="AD55" i="135" s="1"/>
  <c r="Y63" i="135"/>
  <c r="Y62" i="135"/>
  <c r="AB27" i="129"/>
  <c r="AB26" i="129"/>
  <c r="AB28" i="129"/>
  <c r="AB25" i="129"/>
  <c r="Z25" i="129"/>
  <c r="Z24" i="134"/>
  <c r="Z23" i="134"/>
  <c r="Z36" i="134"/>
  <c r="R39" i="134"/>
  <c r="AA36" i="134"/>
  <c r="AB36" i="134"/>
  <c r="C22" i="134"/>
  <c r="H17" i="134" s="1"/>
  <c r="C33" i="135"/>
  <c r="G27" i="135" s="1"/>
  <c r="AA51" i="134"/>
  <c r="AB51" i="134"/>
  <c r="R56" i="134"/>
  <c r="Z51" i="134"/>
  <c r="AA83" i="135"/>
  <c r="Z83" i="135"/>
  <c r="Y83" i="135"/>
  <c r="R89" i="135"/>
  <c r="AB38" i="134"/>
  <c r="Z38" i="134"/>
  <c r="AA38" i="134"/>
  <c r="C25" i="129"/>
  <c r="H62" i="129" s="1"/>
  <c r="AB44" i="129"/>
  <c r="R46" i="129"/>
  <c r="Z44" i="129"/>
  <c r="AA44" i="129"/>
  <c r="AF55" i="129"/>
  <c r="AF56" i="129"/>
  <c r="AF62" i="129"/>
  <c r="AF60" i="129"/>
  <c r="AF54" i="129"/>
  <c r="AF61" i="129"/>
  <c r="AF59" i="129"/>
  <c r="AF58" i="129"/>
  <c r="AF63" i="129"/>
  <c r="G10" i="119"/>
  <c r="E10" i="119"/>
  <c r="D10" i="119"/>
  <c r="AF44" i="135" l="1"/>
  <c r="AF46" i="135"/>
  <c r="AF42" i="135"/>
  <c r="AF49" i="135"/>
  <c r="AF58" i="135"/>
  <c r="AF41" i="135"/>
  <c r="AF52" i="135"/>
  <c r="AF59" i="135"/>
  <c r="AF60" i="135"/>
  <c r="AF45" i="135"/>
  <c r="AF53" i="135"/>
  <c r="AF51" i="135"/>
  <c r="AF43" i="135"/>
  <c r="AF50" i="135"/>
  <c r="AF56" i="135"/>
  <c r="AF54" i="135"/>
  <c r="AF57" i="135"/>
  <c r="AF47" i="135"/>
  <c r="AF48" i="135"/>
  <c r="AF55" i="135"/>
  <c r="AL57" i="129"/>
  <c r="AG21" i="134"/>
  <c r="H50" i="135"/>
  <c r="G42" i="135"/>
  <c r="G41" i="135"/>
  <c r="G57" i="135"/>
  <c r="G50" i="135"/>
  <c r="H41" i="135"/>
  <c r="H57" i="135"/>
  <c r="H60" i="135"/>
  <c r="G60" i="135"/>
  <c r="H56" i="135"/>
  <c r="G46" i="135"/>
  <c r="G58" i="135"/>
  <c r="H47" i="135"/>
  <c r="G56" i="135"/>
  <c r="H46" i="135"/>
  <c r="H58" i="135"/>
  <c r="G48" i="135"/>
  <c r="H59" i="135"/>
  <c r="G45" i="135"/>
  <c r="H45" i="135"/>
  <c r="H52" i="135"/>
  <c r="G51" i="135"/>
  <c r="G47" i="135"/>
  <c r="G59" i="135"/>
  <c r="H44" i="135"/>
  <c r="H51" i="135"/>
  <c r="H53" i="135"/>
  <c r="G54" i="135"/>
  <c r="H54" i="135"/>
  <c r="G53" i="135"/>
  <c r="H48" i="135"/>
  <c r="G52" i="135"/>
  <c r="H42" i="135"/>
  <c r="H43" i="135"/>
  <c r="G43" i="135"/>
  <c r="G44" i="135"/>
  <c r="G49" i="135"/>
  <c r="H49" i="135"/>
  <c r="G55" i="135"/>
  <c r="AG17" i="129"/>
  <c r="AG24" i="129"/>
  <c r="AG22" i="129"/>
  <c r="AG16" i="129"/>
  <c r="AG18" i="129"/>
  <c r="AG15" i="129"/>
  <c r="AG21" i="129"/>
  <c r="AG20" i="129"/>
  <c r="AG19" i="129"/>
  <c r="AD41" i="135"/>
  <c r="AD43" i="135"/>
  <c r="AD44" i="135"/>
  <c r="AD53" i="135"/>
  <c r="AD48" i="135"/>
  <c r="AD46" i="135"/>
  <c r="AD58" i="135"/>
  <c r="AD56" i="135"/>
  <c r="AD60" i="135"/>
  <c r="AD45" i="135"/>
  <c r="AD47" i="135"/>
  <c r="AD51" i="135"/>
  <c r="AD59" i="135"/>
  <c r="AD42" i="135"/>
  <c r="AD50" i="135"/>
  <c r="AD54" i="135"/>
  <c r="AD49" i="135"/>
  <c r="AD52" i="135"/>
  <c r="AD57" i="135"/>
  <c r="C47" i="129"/>
  <c r="Z42" i="134"/>
  <c r="AG38" i="134" s="1"/>
  <c r="AG23" i="129"/>
  <c r="AG17" i="134"/>
  <c r="AG13" i="134"/>
  <c r="AG15" i="134"/>
  <c r="AG20" i="134"/>
  <c r="AG16" i="134"/>
  <c r="AG18" i="134"/>
  <c r="AG14" i="134"/>
  <c r="C39" i="134"/>
  <c r="AB42" i="134"/>
  <c r="AI36" i="134" s="1"/>
  <c r="AH17" i="129"/>
  <c r="AH22" i="129"/>
  <c r="AH18" i="129"/>
  <c r="AH15" i="129"/>
  <c r="AH21" i="129"/>
  <c r="AH16" i="129"/>
  <c r="AH19" i="129"/>
  <c r="AH24" i="129"/>
  <c r="AH20" i="129"/>
  <c r="AI14" i="134"/>
  <c r="AI13" i="134"/>
  <c r="AI17" i="134"/>
  <c r="AI18" i="134"/>
  <c r="AI16" i="134"/>
  <c r="AI15" i="134"/>
  <c r="AI20" i="134"/>
  <c r="AH15" i="134"/>
  <c r="AH17" i="134"/>
  <c r="AH14" i="134"/>
  <c r="AH13" i="134"/>
  <c r="AH20" i="134"/>
  <c r="AH16" i="134"/>
  <c r="AH18" i="134"/>
  <c r="AH21" i="134"/>
  <c r="AH64" i="129"/>
  <c r="AE49" i="135"/>
  <c r="AE58" i="135"/>
  <c r="AE53" i="135"/>
  <c r="AE59" i="135"/>
  <c r="AE60" i="135"/>
  <c r="AE52" i="135"/>
  <c r="AE44" i="135"/>
  <c r="AE51" i="135"/>
  <c r="AE48" i="135"/>
  <c r="AE45" i="135"/>
  <c r="AE41" i="135"/>
  <c r="AE46" i="135"/>
  <c r="AE56" i="135"/>
  <c r="AE47" i="135"/>
  <c r="AE54" i="135"/>
  <c r="AE57" i="135"/>
  <c r="AE50" i="135"/>
  <c r="AE42" i="135"/>
  <c r="AE43" i="135"/>
  <c r="AI21" i="134"/>
  <c r="AE55" i="135"/>
  <c r="G55" i="129"/>
  <c r="AI17" i="129"/>
  <c r="AI18" i="129"/>
  <c r="AI24" i="129"/>
  <c r="AI21" i="129"/>
  <c r="AI20" i="129"/>
  <c r="AI19" i="129"/>
  <c r="AI22" i="129"/>
  <c r="AI16" i="129"/>
  <c r="AI15" i="129"/>
  <c r="AI23" i="129"/>
  <c r="AL23" i="129" s="1"/>
  <c r="AA42" i="134"/>
  <c r="AL19" i="134"/>
  <c r="AL58" i="129"/>
  <c r="AL62" i="129"/>
  <c r="AF25" i="129"/>
  <c r="H23" i="129"/>
  <c r="C26" i="129"/>
  <c r="G62" i="129"/>
  <c r="G61" i="129"/>
  <c r="H54" i="129"/>
  <c r="G57" i="129"/>
  <c r="G58" i="129"/>
  <c r="H60" i="129"/>
  <c r="G54" i="129"/>
  <c r="H59" i="129"/>
  <c r="H55" i="129"/>
  <c r="G60" i="129"/>
  <c r="G59" i="129"/>
  <c r="H56" i="129"/>
  <c r="G56" i="129"/>
  <c r="H63" i="129"/>
  <c r="H61" i="129"/>
  <c r="H58" i="129"/>
  <c r="H43" i="129"/>
  <c r="H39" i="129"/>
  <c r="G43" i="129"/>
  <c r="G39" i="129"/>
  <c r="G41" i="129"/>
  <c r="H42" i="129"/>
  <c r="H41" i="129"/>
  <c r="G42" i="129"/>
  <c r="H40" i="129"/>
  <c r="G45" i="129"/>
  <c r="G40" i="129"/>
  <c r="H45" i="129"/>
  <c r="H37" i="129"/>
  <c r="G37" i="129"/>
  <c r="G36" i="129"/>
  <c r="H36" i="129"/>
  <c r="H38" i="129"/>
  <c r="G38" i="129"/>
  <c r="G63" i="129"/>
  <c r="H44" i="129"/>
  <c r="H57" i="129"/>
  <c r="G44" i="129"/>
  <c r="AG33" i="135"/>
  <c r="AL60" i="129"/>
  <c r="AJ46" i="129"/>
  <c r="AL59" i="129"/>
  <c r="AJ64" i="129"/>
  <c r="AL61" i="129"/>
  <c r="G21" i="134"/>
  <c r="G19" i="134"/>
  <c r="H19" i="134"/>
  <c r="G17" i="134"/>
  <c r="G23" i="129"/>
  <c r="H27" i="135"/>
  <c r="AA48" i="129"/>
  <c r="AA49" i="129"/>
  <c r="AA47" i="129"/>
  <c r="Z92" i="135"/>
  <c r="Z90" i="135"/>
  <c r="Z91" i="135"/>
  <c r="H21" i="134"/>
  <c r="G15" i="134"/>
  <c r="G18" i="134"/>
  <c r="H14" i="134"/>
  <c r="H13" i="134"/>
  <c r="G16" i="134"/>
  <c r="H15" i="134"/>
  <c r="H18" i="134"/>
  <c r="G13" i="134"/>
  <c r="G20" i="134"/>
  <c r="H20" i="134"/>
  <c r="H16" i="134"/>
  <c r="G14" i="134"/>
  <c r="AB47" i="129"/>
  <c r="AB48" i="129"/>
  <c r="AB49" i="129"/>
  <c r="Z58" i="134"/>
  <c r="Z57" i="134"/>
  <c r="Z59" i="134"/>
  <c r="AB41" i="134"/>
  <c r="AB40" i="134"/>
  <c r="Y91" i="135"/>
  <c r="Y92" i="135"/>
  <c r="AD83" i="135" s="1"/>
  <c r="Y90" i="135"/>
  <c r="Z47" i="129"/>
  <c r="Z49" i="129"/>
  <c r="AG44" i="129" s="1"/>
  <c r="Z48" i="129"/>
  <c r="Z56" i="134"/>
  <c r="AA56" i="134"/>
  <c r="AB56" i="134"/>
  <c r="AA40" i="134"/>
  <c r="AA41" i="134"/>
  <c r="G30" i="135"/>
  <c r="H23" i="135"/>
  <c r="H32" i="135"/>
  <c r="G15" i="135"/>
  <c r="G13" i="135"/>
  <c r="H15" i="135"/>
  <c r="G31" i="135"/>
  <c r="H20" i="135"/>
  <c r="H29" i="135"/>
  <c r="G21" i="135"/>
  <c r="H13" i="135"/>
  <c r="G28" i="135"/>
  <c r="G17" i="135"/>
  <c r="H25" i="135"/>
  <c r="G23" i="135"/>
  <c r="G16" i="135"/>
  <c r="H21" i="135"/>
  <c r="G22" i="135"/>
  <c r="G32" i="135"/>
  <c r="H26" i="135"/>
  <c r="H28" i="135"/>
  <c r="G14" i="135"/>
  <c r="H31" i="135"/>
  <c r="G26" i="135"/>
  <c r="G29" i="135"/>
  <c r="H30" i="135"/>
  <c r="H17" i="135"/>
  <c r="G19" i="135"/>
  <c r="H18" i="135"/>
  <c r="H22" i="135"/>
  <c r="G24" i="135"/>
  <c r="G25" i="135"/>
  <c r="H14" i="135"/>
  <c r="G18" i="135"/>
  <c r="G20" i="135"/>
  <c r="H24" i="135"/>
  <c r="H16" i="135"/>
  <c r="AA89" i="135"/>
  <c r="Z89" i="135"/>
  <c r="Y89" i="135"/>
  <c r="AB46" i="129"/>
  <c r="Z46" i="129"/>
  <c r="AA46" i="129"/>
  <c r="AB58" i="134"/>
  <c r="AB57" i="134"/>
  <c r="AB59" i="134"/>
  <c r="AI51" i="134" s="1"/>
  <c r="AB39" i="134"/>
  <c r="AA39" i="134"/>
  <c r="Z39" i="134"/>
  <c r="AA92" i="135"/>
  <c r="AA91" i="135"/>
  <c r="AA90" i="135"/>
  <c r="G17" i="129"/>
  <c r="H17" i="129"/>
  <c r="G22" i="129"/>
  <c r="H24" i="129"/>
  <c r="H18" i="129"/>
  <c r="G15" i="129"/>
  <c r="G16" i="129"/>
  <c r="H20" i="129"/>
  <c r="G21" i="129"/>
  <c r="H16" i="129"/>
  <c r="G24" i="129"/>
  <c r="H21" i="129"/>
  <c r="G18" i="129"/>
  <c r="H19" i="129"/>
  <c r="H22" i="129"/>
  <c r="G19" i="129"/>
  <c r="H15" i="129"/>
  <c r="G20" i="129"/>
  <c r="AA57" i="134"/>
  <c r="AA59" i="134"/>
  <c r="AH51" i="134" s="1"/>
  <c r="AA58" i="134"/>
  <c r="Z40" i="134"/>
  <c r="Z41" i="134"/>
  <c r="AL63" i="129"/>
  <c r="AF46" i="129"/>
  <c r="AL56" i="129"/>
  <c r="AL54" i="129"/>
  <c r="AF64" i="129"/>
  <c r="AL55" i="129"/>
  <c r="AJ25" i="129"/>
  <c r="F41" i="113"/>
  <c r="O41" i="113" s="1"/>
  <c r="P41" i="113" s="1"/>
  <c r="AG43" i="135" l="1"/>
  <c r="AG50" i="135"/>
  <c r="AF87" i="135"/>
  <c r="AF81" i="135"/>
  <c r="AF84" i="135"/>
  <c r="AF78" i="135"/>
  <c r="AF70" i="135"/>
  <c r="AF85" i="135"/>
  <c r="AF69" i="135"/>
  <c r="AF79" i="135"/>
  <c r="AF76" i="135"/>
  <c r="AF74" i="135"/>
  <c r="AF86" i="135"/>
  <c r="AF80" i="135"/>
  <c r="AF73" i="135"/>
  <c r="AF75" i="135"/>
  <c r="AF88" i="135"/>
  <c r="AF82" i="135"/>
  <c r="AF71" i="135"/>
  <c r="AF72" i="135"/>
  <c r="AF77" i="135"/>
  <c r="AF61" i="135"/>
  <c r="AG55" i="135"/>
  <c r="AG52" i="135"/>
  <c r="AF83" i="135"/>
  <c r="AG47" i="135"/>
  <c r="AG42" i="135"/>
  <c r="AG59" i="135"/>
  <c r="AG51" i="135"/>
  <c r="AG44" i="135"/>
  <c r="AG36" i="134"/>
  <c r="AL18" i="129"/>
  <c r="AL22" i="129"/>
  <c r="AG54" i="135"/>
  <c r="AG53" i="135"/>
  <c r="AG58" i="135"/>
  <c r="M64" i="129"/>
  <c r="M46" i="129"/>
  <c r="AG60" i="135"/>
  <c r="AL21" i="134"/>
  <c r="AI38" i="134"/>
  <c r="M48" i="135"/>
  <c r="N48" i="135" s="1"/>
  <c r="P48" i="135" s="1"/>
  <c r="I45" i="135"/>
  <c r="J45" i="135" s="1"/>
  <c r="L45" i="135" s="1"/>
  <c r="AD61" i="135"/>
  <c r="AL20" i="129"/>
  <c r="AG57" i="135"/>
  <c r="AL17" i="129"/>
  <c r="AG46" i="135"/>
  <c r="G33" i="134"/>
  <c r="H37" i="134"/>
  <c r="G31" i="134"/>
  <c r="H35" i="134"/>
  <c r="G37" i="134"/>
  <c r="H33" i="134"/>
  <c r="G30" i="134"/>
  <c r="H31" i="134"/>
  <c r="H30" i="134"/>
  <c r="G35" i="134"/>
  <c r="H32" i="134"/>
  <c r="G32" i="134"/>
  <c r="G38" i="134"/>
  <c r="G36" i="134"/>
  <c r="H36" i="134"/>
  <c r="H38" i="134"/>
  <c r="I44" i="135"/>
  <c r="J44" i="135" s="1"/>
  <c r="L44" i="135" s="1"/>
  <c r="I59" i="135"/>
  <c r="J59" i="135" s="1"/>
  <c r="L59" i="135" s="1"/>
  <c r="I58" i="135"/>
  <c r="J58" i="135" s="1"/>
  <c r="L58" i="135" s="1"/>
  <c r="AL24" i="129"/>
  <c r="AG25" i="129"/>
  <c r="I43" i="135"/>
  <c r="J43" i="135" s="1"/>
  <c r="L43" i="135" s="1"/>
  <c r="I47" i="135"/>
  <c r="J47" i="135" s="1"/>
  <c r="L47" i="135" s="1"/>
  <c r="I46" i="135"/>
  <c r="J46" i="135" s="1"/>
  <c r="L46" i="135" s="1"/>
  <c r="M43" i="135"/>
  <c r="N43" i="135" s="1"/>
  <c r="P43" i="135" s="1"/>
  <c r="I51" i="135"/>
  <c r="J51" i="135" s="1"/>
  <c r="L51" i="135" s="1"/>
  <c r="M56" i="135"/>
  <c r="N56" i="135" s="1"/>
  <c r="P56" i="135" s="1"/>
  <c r="M42" i="135"/>
  <c r="N42" i="135" s="1"/>
  <c r="P42" i="135" s="1"/>
  <c r="M52" i="135"/>
  <c r="N52" i="135" s="1"/>
  <c r="P52" i="135" s="1"/>
  <c r="I60" i="135"/>
  <c r="J60" i="135" s="1"/>
  <c r="L60" i="135" s="1"/>
  <c r="I52" i="135"/>
  <c r="J52" i="135" s="1"/>
  <c r="L52" i="135" s="1"/>
  <c r="M45" i="135"/>
  <c r="N45" i="135" s="1"/>
  <c r="P45" i="135" s="1"/>
  <c r="M60" i="135"/>
  <c r="N60" i="135" s="1"/>
  <c r="P60" i="135" s="1"/>
  <c r="AD87" i="135"/>
  <c r="AD70" i="135"/>
  <c r="AD76" i="135"/>
  <c r="AD79" i="135"/>
  <c r="AD77" i="135"/>
  <c r="AD81" i="135"/>
  <c r="AD78" i="135"/>
  <c r="AD74" i="135"/>
  <c r="AD84" i="135"/>
  <c r="AD75" i="135"/>
  <c r="AD88" i="135"/>
  <c r="AD72" i="135"/>
  <c r="AD73" i="135"/>
  <c r="AD71" i="135"/>
  <c r="AD69" i="135"/>
  <c r="AD80" i="135"/>
  <c r="AD86" i="135"/>
  <c r="AD85" i="135"/>
  <c r="AD82" i="135"/>
  <c r="AG56" i="135"/>
  <c r="AG49" i="135"/>
  <c r="I53" i="135"/>
  <c r="J53" i="135" s="1"/>
  <c r="L53" i="135" s="1"/>
  <c r="M59" i="135"/>
  <c r="H61" i="135"/>
  <c r="M41" i="135"/>
  <c r="M54" i="135"/>
  <c r="N54" i="135" s="1"/>
  <c r="P54" i="135" s="1"/>
  <c r="I48" i="135"/>
  <c r="J48" i="135" s="1"/>
  <c r="L48" i="135" s="1"/>
  <c r="I50" i="135"/>
  <c r="J50" i="135" s="1"/>
  <c r="L50" i="135" s="1"/>
  <c r="I55" i="135"/>
  <c r="J55" i="135" s="1"/>
  <c r="L55" i="135" s="1"/>
  <c r="I54" i="135"/>
  <c r="J54" i="135" s="1"/>
  <c r="L54" i="135" s="1"/>
  <c r="M58" i="135"/>
  <c r="N58" i="135" s="1"/>
  <c r="P58" i="135" s="1"/>
  <c r="I57" i="135"/>
  <c r="J57" i="135" s="1"/>
  <c r="L57" i="135" s="1"/>
  <c r="M57" i="135"/>
  <c r="N57" i="135" s="1"/>
  <c r="P57" i="135" s="1"/>
  <c r="AG45" i="135"/>
  <c r="AG35" i="134"/>
  <c r="AG32" i="134"/>
  <c r="AG33" i="134"/>
  <c r="AG31" i="134"/>
  <c r="AG37" i="134"/>
  <c r="AG30" i="134"/>
  <c r="AG34" i="134"/>
  <c r="M55" i="135"/>
  <c r="N55" i="135" s="1"/>
  <c r="P55" i="135" s="1"/>
  <c r="M53" i="135"/>
  <c r="N53" i="135" s="1"/>
  <c r="P53" i="135" s="1"/>
  <c r="M46" i="135"/>
  <c r="N46" i="135" s="1"/>
  <c r="P46" i="135" s="1"/>
  <c r="I41" i="135"/>
  <c r="G61" i="135"/>
  <c r="AG49" i="134"/>
  <c r="AG48" i="134"/>
  <c r="AG47" i="134"/>
  <c r="AG52" i="134"/>
  <c r="AG54" i="134"/>
  <c r="AG55" i="134"/>
  <c r="AG53" i="134"/>
  <c r="AG50" i="134"/>
  <c r="AG48" i="135"/>
  <c r="G34" i="134"/>
  <c r="AG51" i="134"/>
  <c r="AL51" i="134" s="1"/>
  <c r="AM51" i="134" s="1"/>
  <c r="M49" i="135"/>
  <c r="N49" i="135" s="1"/>
  <c r="P49" i="135" s="1"/>
  <c r="M51" i="135"/>
  <c r="N51" i="135" s="1"/>
  <c r="P51" i="135" s="1"/>
  <c r="I56" i="135"/>
  <c r="J56" i="135" s="1"/>
  <c r="L56" i="135" s="1"/>
  <c r="I42" i="135"/>
  <c r="J42" i="135" s="1"/>
  <c r="L42" i="135" s="1"/>
  <c r="AG45" i="129"/>
  <c r="AG36" i="129"/>
  <c r="AG40" i="129"/>
  <c r="AG39" i="129"/>
  <c r="AG41" i="129"/>
  <c r="AG43" i="129"/>
  <c r="AG42" i="129"/>
  <c r="AG38" i="129"/>
  <c r="AG37" i="129"/>
  <c r="H34" i="134"/>
  <c r="I49" i="135"/>
  <c r="J49" i="135" s="1"/>
  <c r="L49" i="135" s="1"/>
  <c r="M44" i="135"/>
  <c r="N44" i="135" s="1"/>
  <c r="P44" i="135" s="1"/>
  <c r="M47" i="135"/>
  <c r="N47" i="135" s="1"/>
  <c r="P47" i="135" s="1"/>
  <c r="M50" i="135"/>
  <c r="N50" i="135" s="1"/>
  <c r="P50" i="135" s="1"/>
  <c r="AE61" i="135"/>
  <c r="AG41" i="135"/>
  <c r="AH25" i="129"/>
  <c r="AE87" i="135"/>
  <c r="AE78" i="135"/>
  <c r="AE85" i="135"/>
  <c r="AE76" i="135"/>
  <c r="AE86" i="135"/>
  <c r="AE77" i="135"/>
  <c r="AE79" i="135"/>
  <c r="AE72" i="135"/>
  <c r="AE73" i="135"/>
  <c r="AE82" i="135"/>
  <c r="AE70" i="135"/>
  <c r="AE74" i="135"/>
  <c r="AE75" i="135"/>
  <c r="AE88" i="135"/>
  <c r="AE80" i="135"/>
  <c r="AE84" i="135"/>
  <c r="AG84" i="135" s="1"/>
  <c r="AH84" i="135" s="1"/>
  <c r="AE81" i="135"/>
  <c r="AE71" i="135"/>
  <c r="AE69" i="135"/>
  <c r="AH43" i="129"/>
  <c r="AH42" i="129"/>
  <c r="AH36" i="129"/>
  <c r="AH37" i="129"/>
  <c r="AH38" i="129"/>
  <c r="AH39" i="129"/>
  <c r="AH45" i="129"/>
  <c r="AH40" i="129"/>
  <c r="AH41" i="129"/>
  <c r="AH31" i="134"/>
  <c r="AH33" i="134"/>
  <c r="AH32" i="134"/>
  <c r="AH37" i="134"/>
  <c r="AH30" i="134"/>
  <c r="AH35" i="134"/>
  <c r="AH34" i="134"/>
  <c r="AE83" i="135"/>
  <c r="AL16" i="129"/>
  <c r="AH36" i="134"/>
  <c r="AL19" i="129"/>
  <c r="AH44" i="129"/>
  <c r="AI31" i="134"/>
  <c r="AI37" i="134"/>
  <c r="AI33" i="134"/>
  <c r="AI32" i="134"/>
  <c r="AI30" i="134"/>
  <c r="AI35" i="134"/>
  <c r="AI34" i="134"/>
  <c r="AI47" i="134"/>
  <c r="AI52" i="134"/>
  <c r="AI53" i="134"/>
  <c r="AI54" i="134"/>
  <c r="AI55" i="134"/>
  <c r="AI50" i="134"/>
  <c r="AI49" i="134"/>
  <c r="AI48" i="134"/>
  <c r="AH55" i="134"/>
  <c r="AH52" i="134"/>
  <c r="AH47" i="134"/>
  <c r="AH54" i="134"/>
  <c r="AH49" i="134"/>
  <c r="AH53" i="134"/>
  <c r="AH48" i="134"/>
  <c r="AH50" i="134"/>
  <c r="AL21" i="129"/>
  <c r="AH38" i="134"/>
  <c r="AL17" i="134"/>
  <c r="AL14" i="134"/>
  <c r="AI43" i="129"/>
  <c r="AI38" i="129"/>
  <c r="AI36" i="129"/>
  <c r="AI41" i="129"/>
  <c r="AI39" i="129"/>
  <c r="AI42" i="129"/>
  <c r="AI40" i="129"/>
  <c r="AI37" i="129"/>
  <c r="AI45" i="129"/>
  <c r="AI44" i="129"/>
  <c r="AL15" i="134"/>
  <c r="AL20" i="134"/>
  <c r="AI22" i="134"/>
  <c r="AL18" i="134"/>
  <c r="AG22" i="134"/>
  <c r="AL13" i="134"/>
  <c r="AL16" i="134"/>
  <c r="AH22" i="134"/>
  <c r="I13" i="134"/>
  <c r="M38" i="129"/>
  <c r="N38" i="129" s="1"/>
  <c r="P38" i="129" s="1"/>
  <c r="I41" i="129"/>
  <c r="J41" i="129" s="1"/>
  <c r="L41" i="129" s="1"/>
  <c r="M62" i="129"/>
  <c r="I55" i="129"/>
  <c r="J55" i="129" s="1"/>
  <c r="L55" i="129" s="1"/>
  <c r="M60" i="129"/>
  <c r="M63" i="129"/>
  <c r="I58" i="129"/>
  <c r="J58" i="129" s="1"/>
  <c r="L58" i="129" s="1"/>
  <c r="M54" i="129"/>
  <c r="AM54" i="129" s="1"/>
  <c r="M58" i="129"/>
  <c r="I62" i="129"/>
  <c r="J62" i="129" s="1"/>
  <c r="L62" i="129" s="1"/>
  <c r="M56" i="129"/>
  <c r="M59" i="129"/>
  <c r="M61" i="129"/>
  <c r="I63" i="129"/>
  <c r="J63" i="129" s="1"/>
  <c r="L63" i="129" s="1"/>
  <c r="I61" i="129"/>
  <c r="J61" i="129" s="1"/>
  <c r="L61" i="129" s="1"/>
  <c r="I60" i="129"/>
  <c r="J60" i="129" s="1"/>
  <c r="L60" i="129" s="1"/>
  <c r="I54" i="129"/>
  <c r="J54" i="129" s="1"/>
  <c r="M44" i="129"/>
  <c r="I42" i="129"/>
  <c r="M41" i="129"/>
  <c r="I38" i="129"/>
  <c r="J38" i="129" s="1"/>
  <c r="L38" i="129" s="1"/>
  <c r="M42" i="129"/>
  <c r="I56" i="129"/>
  <c r="J56" i="129" s="1"/>
  <c r="L56" i="129" s="1"/>
  <c r="M36" i="129"/>
  <c r="H46" i="129"/>
  <c r="I39" i="129"/>
  <c r="M57" i="129"/>
  <c r="G46" i="129"/>
  <c r="I46" i="129" s="1"/>
  <c r="I36" i="129"/>
  <c r="J36" i="129" s="1"/>
  <c r="I43" i="129"/>
  <c r="I59" i="129"/>
  <c r="J59" i="129" s="1"/>
  <c r="L59" i="129" s="1"/>
  <c r="I37" i="129"/>
  <c r="J37" i="129" s="1"/>
  <c r="L37" i="129" s="1"/>
  <c r="M39" i="129"/>
  <c r="I57" i="129"/>
  <c r="M37" i="129"/>
  <c r="M43" i="129"/>
  <c r="M55" i="129"/>
  <c r="M45" i="129"/>
  <c r="I40" i="129"/>
  <c r="J40" i="129" s="1"/>
  <c r="L40" i="129" s="1"/>
  <c r="I44" i="129"/>
  <c r="I45" i="129"/>
  <c r="M40" i="129"/>
  <c r="I21" i="134"/>
  <c r="AI25" i="129"/>
  <c r="AL15" i="129"/>
  <c r="M18" i="134"/>
  <c r="I20" i="129"/>
  <c r="J20" i="129" s="1"/>
  <c r="L20" i="129" s="1"/>
  <c r="I31" i="135"/>
  <c r="M22" i="135"/>
  <c r="AH22" i="135" s="1"/>
  <c r="I27" i="135"/>
  <c r="I23" i="129"/>
  <c r="J23" i="129" s="1"/>
  <c r="L23" i="129" s="1"/>
  <c r="I18" i="134"/>
  <c r="M18" i="129"/>
  <c r="I24" i="135"/>
  <c r="M15" i="135"/>
  <c r="G22" i="134"/>
  <c r="M21" i="135"/>
  <c r="I19" i="129"/>
  <c r="J19" i="129" s="1"/>
  <c r="L19" i="129" s="1"/>
  <c r="I15" i="135"/>
  <c r="M15" i="134"/>
  <c r="I20" i="134"/>
  <c r="H25" i="129"/>
  <c r="M15" i="129"/>
  <c r="M18" i="135"/>
  <c r="M22" i="129"/>
  <c r="I16" i="135"/>
  <c r="M19" i="129"/>
  <c r="M17" i="129"/>
  <c r="M17" i="135"/>
  <c r="I23" i="135"/>
  <c r="M32" i="135"/>
  <c r="I16" i="134"/>
  <c r="I13" i="135"/>
  <c r="G33" i="135"/>
  <c r="I22" i="129"/>
  <c r="J22" i="129" s="1"/>
  <c r="L22" i="129" s="1"/>
  <c r="I19" i="135"/>
  <c r="I18" i="129"/>
  <c r="J18" i="129" s="1"/>
  <c r="L18" i="129" s="1"/>
  <c r="I17" i="129"/>
  <c r="J17" i="129" s="1"/>
  <c r="L17" i="129" s="1"/>
  <c r="M16" i="135"/>
  <c r="M30" i="135"/>
  <c r="M25" i="135"/>
  <c r="M23" i="135"/>
  <c r="H22" i="134"/>
  <c r="M13" i="134"/>
  <c r="I17" i="134"/>
  <c r="I15" i="129"/>
  <c r="G25" i="129"/>
  <c r="M21" i="129"/>
  <c r="M24" i="135"/>
  <c r="I29" i="135"/>
  <c r="I17" i="135"/>
  <c r="I30" i="135"/>
  <c r="M14" i="134"/>
  <c r="I24" i="129"/>
  <c r="J24" i="129" s="1"/>
  <c r="L24" i="129" s="1"/>
  <c r="M23" i="129"/>
  <c r="M16" i="129"/>
  <c r="M31" i="135"/>
  <c r="H33" i="135"/>
  <c r="M13" i="135"/>
  <c r="I15" i="134"/>
  <c r="I32" i="135"/>
  <c r="I22" i="135"/>
  <c r="M24" i="129"/>
  <c r="M19" i="135"/>
  <c r="I26" i="135"/>
  <c r="I28" i="135"/>
  <c r="I20" i="135"/>
  <c r="I21" i="129"/>
  <c r="J21" i="129" s="1"/>
  <c r="L21" i="129" s="1"/>
  <c r="I18" i="135"/>
  <c r="I14" i="135"/>
  <c r="I21" i="135"/>
  <c r="M19" i="134"/>
  <c r="I14" i="134"/>
  <c r="M21" i="134"/>
  <c r="M14" i="135"/>
  <c r="M28" i="135"/>
  <c r="M29" i="135"/>
  <c r="M27" i="135"/>
  <c r="M16" i="134"/>
  <c r="I19" i="134"/>
  <c r="M20" i="129"/>
  <c r="I16" i="129"/>
  <c r="J16" i="129" s="1"/>
  <c r="L16" i="129" s="1"/>
  <c r="I25" i="135"/>
  <c r="M26" i="135"/>
  <c r="M20" i="135"/>
  <c r="M20" i="134"/>
  <c r="M17" i="134"/>
  <c r="AL64" i="129"/>
  <c r="E41" i="114"/>
  <c r="C3" i="116"/>
  <c r="D3" i="116"/>
  <c r="E3" i="116"/>
  <c r="AM18" i="129" l="1"/>
  <c r="AL36" i="134"/>
  <c r="AH56" i="135"/>
  <c r="AG83" i="135"/>
  <c r="AH83" i="135" s="1"/>
  <c r="AF89" i="135"/>
  <c r="AM15" i="129"/>
  <c r="AG85" i="135"/>
  <c r="AH85" i="135" s="1"/>
  <c r="AG80" i="135"/>
  <c r="AH80" i="135" s="1"/>
  <c r="AG61" i="135"/>
  <c r="AG39" i="134"/>
  <c r="AL54" i="134"/>
  <c r="AM54" i="134" s="1"/>
  <c r="AL43" i="129"/>
  <c r="AM43" i="129" s="1"/>
  <c r="AG79" i="135"/>
  <c r="AH79" i="135" s="1"/>
  <c r="AG88" i="135"/>
  <c r="AH88" i="135" s="1"/>
  <c r="AG71" i="135"/>
  <c r="AH71" i="135" s="1"/>
  <c r="AG77" i="135"/>
  <c r="AH77" i="135" s="1"/>
  <c r="AL37" i="129"/>
  <c r="AM37" i="129" s="1"/>
  <c r="AL25" i="129"/>
  <c r="AH48" i="135"/>
  <c r="AH54" i="135"/>
  <c r="AH55" i="135"/>
  <c r="AL44" i="129"/>
  <c r="AM44" i="129" s="1"/>
  <c r="AL38" i="134"/>
  <c r="AG81" i="135"/>
  <c r="AH81" i="135" s="1"/>
  <c r="AG86" i="135"/>
  <c r="AH86" i="135" s="1"/>
  <c r="M34" i="134"/>
  <c r="N34" i="134" s="1"/>
  <c r="P34" i="134" s="1"/>
  <c r="AL33" i="134"/>
  <c r="AL31" i="134"/>
  <c r="AG75" i="135"/>
  <c r="AH75" i="135" s="1"/>
  <c r="AL34" i="134"/>
  <c r="AH41" i="135"/>
  <c r="AG72" i="135"/>
  <c r="AH72" i="135" s="1"/>
  <c r="AH60" i="135"/>
  <c r="L36" i="129"/>
  <c r="L54" i="129"/>
  <c r="AL37" i="134"/>
  <c r="AH46" i="135"/>
  <c r="AH53" i="135"/>
  <c r="AD89" i="135"/>
  <c r="AL45" i="129"/>
  <c r="AM45" i="129" s="1"/>
  <c r="AG76" i="135"/>
  <c r="AH76" i="135" s="1"/>
  <c r="I37" i="134"/>
  <c r="J37" i="134" s="1"/>
  <c r="L37" i="134" s="1"/>
  <c r="AL38" i="129"/>
  <c r="AM38" i="129" s="1"/>
  <c r="AG73" i="135"/>
  <c r="AH73" i="135" s="1"/>
  <c r="AG46" i="129"/>
  <c r="I35" i="134"/>
  <c r="J35" i="134" s="1"/>
  <c r="L35" i="134" s="1"/>
  <c r="AL32" i="134"/>
  <c r="AH52" i="135"/>
  <c r="M30" i="134"/>
  <c r="H39" i="134"/>
  <c r="AH42" i="135"/>
  <c r="M31" i="134"/>
  <c r="N31" i="134" s="1"/>
  <c r="P31" i="134" s="1"/>
  <c r="G39" i="134"/>
  <c r="I30" i="134"/>
  <c r="M33" i="134"/>
  <c r="N33" i="134" s="1"/>
  <c r="P33" i="134" s="1"/>
  <c r="AG78" i="135"/>
  <c r="AH78" i="135" s="1"/>
  <c r="AH45" i="135"/>
  <c r="M61" i="135"/>
  <c r="N41" i="135"/>
  <c r="P41" i="135" s="1"/>
  <c r="M38" i="134"/>
  <c r="N38" i="134" s="1"/>
  <c r="P38" i="134" s="1"/>
  <c r="M35" i="134"/>
  <c r="N35" i="134" s="1"/>
  <c r="P35" i="134" s="1"/>
  <c r="AH51" i="135"/>
  <c r="AH47" i="135"/>
  <c r="AG87" i="135"/>
  <c r="I34" i="134"/>
  <c r="J34" i="134" s="1"/>
  <c r="L34" i="134" s="1"/>
  <c r="I61" i="135"/>
  <c r="J41" i="135"/>
  <c r="J61" i="135" s="1"/>
  <c r="AH58" i="135"/>
  <c r="AH50" i="135"/>
  <c r="M36" i="134"/>
  <c r="N36" i="134" s="1"/>
  <c r="P36" i="134" s="1"/>
  <c r="I31" i="134"/>
  <c r="J31" i="134" s="1"/>
  <c r="L31" i="134" s="1"/>
  <c r="AG74" i="135"/>
  <c r="AH74" i="135" s="1"/>
  <c r="N59" i="135"/>
  <c r="AH57" i="135"/>
  <c r="I36" i="134"/>
  <c r="J36" i="134" s="1"/>
  <c r="L36" i="134" s="1"/>
  <c r="M37" i="134"/>
  <c r="N37" i="134" s="1"/>
  <c r="P37" i="134" s="1"/>
  <c r="AL41" i="129"/>
  <c r="AM41" i="129" s="1"/>
  <c r="AG70" i="135"/>
  <c r="AH70" i="135" s="1"/>
  <c r="I38" i="134"/>
  <c r="J38" i="134" s="1"/>
  <c r="L38" i="134" s="1"/>
  <c r="I33" i="134"/>
  <c r="J33" i="134" s="1"/>
  <c r="L33" i="134" s="1"/>
  <c r="AL35" i="134"/>
  <c r="AG82" i="135"/>
  <c r="AH82" i="135" s="1"/>
  <c r="AH49" i="135"/>
  <c r="I32" i="134"/>
  <c r="J32" i="134" s="1"/>
  <c r="L32" i="134" s="1"/>
  <c r="AH44" i="135"/>
  <c r="AI39" i="134"/>
  <c r="AL30" i="134"/>
  <c r="M32" i="134"/>
  <c r="N32" i="134" s="1"/>
  <c r="P32" i="134" s="1"/>
  <c r="AH43" i="135"/>
  <c r="AG69" i="135"/>
  <c r="AH69" i="135" s="1"/>
  <c r="AE89" i="135"/>
  <c r="AL40" i="129"/>
  <c r="AM40" i="129" s="1"/>
  <c r="AL42" i="129"/>
  <c r="AM42" i="129" s="1"/>
  <c r="AL39" i="129"/>
  <c r="AM39" i="129" s="1"/>
  <c r="AH46" i="129"/>
  <c r="AI46" i="129"/>
  <c r="AL36" i="129"/>
  <c r="AL52" i="134"/>
  <c r="AM52" i="134" s="1"/>
  <c r="J39" i="129"/>
  <c r="L39" i="129" s="1"/>
  <c r="AL50" i="134"/>
  <c r="AM50" i="134" s="1"/>
  <c r="J57" i="129"/>
  <c r="L57" i="129" s="1"/>
  <c r="N54" i="129"/>
  <c r="AL22" i="134"/>
  <c r="AL55" i="134"/>
  <c r="AM55" i="134" s="1"/>
  <c r="AL48" i="134"/>
  <c r="AM48" i="134" s="1"/>
  <c r="AG56" i="134"/>
  <c r="AL47" i="134"/>
  <c r="AL49" i="134"/>
  <c r="AM49" i="134" s="1"/>
  <c r="AH56" i="134"/>
  <c r="AL53" i="134"/>
  <c r="AM53" i="134" s="1"/>
  <c r="AI56" i="134"/>
  <c r="AH39" i="134"/>
  <c r="N57" i="129"/>
  <c r="P57" i="129" s="1"/>
  <c r="AM57" i="129"/>
  <c r="N59" i="129"/>
  <c r="P59" i="129" s="1"/>
  <c r="AM59" i="129"/>
  <c r="N56" i="129"/>
  <c r="P56" i="129" s="1"/>
  <c r="AM56" i="129"/>
  <c r="N60" i="129"/>
  <c r="P60" i="129" s="1"/>
  <c r="AM60" i="129"/>
  <c r="N63" i="129"/>
  <c r="AM63" i="129"/>
  <c r="N58" i="129"/>
  <c r="P58" i="129" s="1"/>
  <c r="AM58" i="129"/>
  <c r="N55" i="129"/>
  <c r="P55" i="129" s="1"/>
  <c r="AM55" i="129"/>
  <c r="N61" i="129"/>
  <c r="P61" i="129" s="1"/>
  <c r="AM61" i="129"/>
  <c r="N62" i="129"/>
  <c r="P62" i="129" s="1"/>
  <c r="AM62" i="129"/>
  <c r="N40" i="129"/>
  <c r="P40" i="129" s="1"/>
  <c r="N43" i="129"/>
  <c r="P43" i="129" s="1"/>
  <c r="N37" i="129"/>
  <c r="P37" i="129" s="1"/>
  <c r="N42" i="129"/>
  <c r="P42" i="129" s="1"/>
  <c r="N41" i="129"/>
  <c r="P41" i="129" s="1"/>
  <c r="J44" i="129"/>
  <c r="L44" i="129" s="1"/>
  <c r="N45" i="129"/>
  <c r="N36" i="129"/>
  <c r="N39" i="129"/>
  <c r="P39" i="129" s="1"/>
  <c r="J42" i="129"/>
  <c r="L42" i="129" s="1"/>
  <c r="J43" i="129"/>
  <c r="L43" i="129" s="1"/>
  <c r="N44" i="129"/>
  <c r="P44" i="129" s="1"/>
  <c r="J45" i="129"/>
  <c r="L45" i="129" s="1"/>
  <c r="AM18" i="134"/>
  <c r="N18" i="129"/>
  <c r="P18" i="129" s="1"/>
  <c r="AM15" i="134"/>
  <c r="AM17" i="134"/>
  <c r="I33" i="135"/>
  <c r="AH32" i="135"/>
  <c r="AH23" i="135"/>
  <c r="AH28" i="135"/>
  <c r="AH25" i="135"/>
  <c r="AH17" i="135"/>
  <c r="AM13" i="134"/>
  <c r="M22" i="134"/>
  <c r="AH30" i="135"/>
  <c r="N17" i="129"/>
  <c r="P17" i="129" s="1"/>
  <c r="AM17" i="129"/>
  <c r="AM19" i="134"/>
  <c r="N20" i="129"/>
  <c r="P20" i="129" s="1"/>
  <c r="AM20" i="129"/>
  <c r="AH16" i="135"/>
  <c r="AH21" i="135"/>
  <c r="AH14" i="135"/>
  <c r="AM20" i="134"/>
  <c r="AM21" i="134"/>
  <c r="AM14" i="134"/>
  <c r="AH26" i="135"/>
  <c r="AH24" i="135"/>
  <c r="N22" i="129"/>
  <c r="P22" i="129" s="1"/>
  <c r="AM22" i="129"/>
  <c r="I22" i="134"/>
  <c r="N24" i="129"/>
  <c r="P24" i="129" s="1"/>
  <c r="AM24" i="129"/>
  <c r="AH20" i="135"/>
  <c r="N21" i="129"/>
  <c r="P21" i="129" s="1"/>
  <c r="AM21" i="129"/>
  <c r="AM16" i="134"/>
  <c r="AH27" i="135"/>
  <c r="N16" i="129"/>
  <c r="P16" i="129" s="1"/>
  <c r="AM16" i="129"/>
  <c r="I25" i="129"/>
  <c r="J15" i="129"/>
  <c r="J25" i="129" s="1"/>
  <c r="AH18" i="135"/>
  <c r="AH15" i="135"/>
  <c r="AH19" i="135"/>
  <c r="AH13" i="135"/>
  <c r="M33" i="135"/>
  <c r="N19" i="129"/>
  <c r="P19" i="129" s="1"/>
  <c r="AM19" i="129"/>
  <c r="AH31" i="135"/>
  <c r="AH29" i="135"/>
  <c r="N23" i="129"/>
  <c r="P23" i="129" s="1"/>
  <c r="AM23" i="129"/>
  <c r="M25" i="129"/>
  <c r="N15" i="129"/>
  <c r="AO20" i="119"/>
  <c r="AN20" i="119"/>
  <c r="AM20" i="119"/>
  <c r="AH20" i="119"/>
  <c r="AG20" i="119"/>
  <c r="AF20" i="119"/>
  <c r="AA20" i="119"/>
  <c r="Z20" i="119"/>
  <c r="Y20" i="119"/>
  <c r="T20" i="119"/>
  <c r="S20" i="119"/>
  <c r="R20" i="119"/>
  <c r="M20" i="119"/>
  <c r="L20" i="119"/>
  <c r="K20" i="119"/>
  <c r="AM30" i="134" l="1"/>
  <c r="AM35" i="134"/>
  <c r="AM34" i="134"/>
  <c r="AL39" i="134"/>
  <c r="P36" i="129"/>
  <c r="N46" i="129"/>
  <c r="J46" i="129"/>
  <c r="L46" i="129"/>
  <c r="P54" i="129"/>
  <c r="N64" i="129"/>
  <c r="J64" i="129"/>
  <c r="L64" i="129"/>
  <c r="AH89" i="135"/>
  <c r="AI83" i="135" s="1"/>
  <c r="P59" i="135"/>
  <c r="P61" i="135" s="1"/>
  <c r="AH61" i="135"/>
  <c r="AI55" i="135" s="1"/>
  <c r="AM33" i="134"/>
  <c r="AM36" i="134"/>
  <c r="M39" i="134"/>
  <c r="N39" i="134" s="1"/>
  <c r="N30" i="134"/>
  <c r="P30" i="134" s="1"/>
  <c r="P39" i="134" s="1"/>
  <c r="AM32" i="134"/>
  <c r="L41" i="135"/>
  <c r="L61" i="135" s="1"/>
  <c r="AL46" i="129"/>
  <c r="N61" i="135"/>
  <c r="AM37" i="134"/>
  <c r="AM31" i="134"/>
  <c r="AG89" i="135"/>
  <c r="J30" i="134"/>
  <c r="L30" i="134" s="1"/>
  <c r="L39" i="134" s="1"/>
  <c r="I39" i="134"/>
  <c r="AM38" i="134"/>
  <c r="AM36" i="129"/>
  <c r="AM46" i="129" s="1"/>
  <c r="AN36" i="129" s="1"/>
  <c r="AM47" i="134"/>
  <c r="AL56" i="134"/>
  <c r="AM64" i="129"/>
  <c r="AN54" i="129" s="1"/>
  <c r="N25" i="129"/>
  <c r="AM25" i="129"/>
  <c r="AN15" i="129" s="1"/>
  <c r="P15" i="129"/>
  <c r="P25" i="129" s="1"/>
  <c r="AM22" i="134"/>
  <c r="AN18" i="134" s="1"/>
  <c r="AH33" i="135"/>
  <c r="AI13" i="135" s="1"/>
  <c r="L15" i="129"/>
  <c r="L25" i="129" s="1"/>
  <c r="AO51" i="119"/>
  <c r="AN51" i="119"/>
  <c r="AP47" i="119"/>
  <c r="AF47" i="119"/>
  <c r="AI42" i="119"/>
  <c r="F41" i="121"/>
  <c r="AF14" i="119"/>
  <c r="B41" i="120"/>
  <c r="BH50" i="119"/>
  <c r="AP50" i="119"/>
  <c r="AO50" i="119"/>
  <c r="AN50" i="119"/>
  <c r="AM50" i="119"/>
  <c r="AI50" i="119"/>
  <c r="AH50" i="119"/>
  <c r="AG50" i="119"/>
  <c r="AF50" i="119"/>
  <c r="AB50" i="119"/>
  <c r="AA50" i="119"/>
  <c r="Z50" i="119"/>
  <c r="Y50" i="119"/>
  <c r="U50" i="119"/>
  <c r="T50" i="119"/>
  <c r="S50" i="119"/>
  <c r="R50" i="119"/>
  <c r="N50" i="119"/>
  <c r="M50" i="119"/>
  <c r="L50" i="119"/>
  <c r="K50" i="119"/>
  <c r="BH49" i="119"/>
  <c r="AP49" i="119"/>
  <c r="AO49" i="119"/>
  <c r="AN49" i="119"/>
  <c r="AM49" i="119"/>
  <c r="AI49" i="119"/>
  <c r="AH49" i="119"/>
  <c r="AG49" i="119"/>
  <c r="AF49" i="119"/>
  <c r="AB49" i="119"/>
  <c r="AA49" i="119"/>
  <c r="Z49" i="119"/>
  <c r="Y49" i="119"/>
  <c r="U49" i="119"/>
  <c r="T49" i="119"/>
  <c r="S49" i="119"/>
  <c r="R49" i="119"/>
  <c r="N49" i="119"/>
  <c r="M49" i="119"/>
  <c r="L49" i="119"/>
  <c r="K49" i="119"/>
  <c r="BH48" i="119"/>
  <c r="AP48" i="119"/>
  <c r="AO48" i="119"/>
  <c r="AN48" i="119"/>
  <c r="AM48" i="119"/>
  <c r="AI48" i="119"/>
  <c r="AH48" i="119"/>
  <c r="AG48" i="119"/>
  <c r="AF48" i="119"/>
  <c r="AB48" i="119"/>
  <c r="AA48" i="119"/>
  <c r="Z48" i="119"/>
  <c r="Y48" i="119"/>
  <c r="U48" i="119"/>
  <c r="T48" i="119"/>
  <c r="S48" i="119"/>
  <c r="R48" i="119"/>
  <c r="N48" i="119"/>
  <c r="M48" i="119"/>
  <c r="L48" i="119"/>
  <c r="K48" i="119"/>
  <c r="BH47" i="119"/>
  <c r="AO47" i="119"/>
  <c r="AN47" i="119"/>
  <c r="AM47" i="119"/>
  <c r="AI47" i="119"/>
  <c r="AH47" i="119"/>
  <c r="AG47" i="119"/>
  <c r="AA47" i="119"/>
  <c r="Z47" i="119"/>
  <c r="U47" i="119"/>
  <c r="T47" i="119"/>
  <c r="S47" i="119"/>
  <c r="N47" i="119"/>
  <c r="M47" i="119"/>
  <c r="L47" i="119"/>
  <c r="BH46" i="119"/>
  <c r="AP46" i="119"/>
  <c r="AO46" i="119"/>
  <c r="AN46" i="119"/>
  <c r="AM46" i="119"/>
  <c r="AI46" i="119"/>
  <c r="AH46" i="119"/>
  <c r="AG46" i="119"/>
  <c r="AF46" i="119"/>
  <c r="AB46" i="119"/>
  <c r="AA46" i="119"/>
  <c r="Z46" i="119"/>
  <c r="Y46" i="119"/>
  <c r="U46" i="119"/>
  <c r="T46" i="119"/>
  <c r="S46" i="119"/>
  <c r="R46" i="119"/>
  <c r="N46" i="119"/>
  <c r="M46" i="119"/>
  <c r="L46" i="119"/>
  <c r="K46" i="119"/>
  <c r="BH45" i="119"/>
  <c r="AP45" i="119"/>
  <c r="AO45" i="119"/>
  <c r="AN45" i="119"/>
  <c r="AM45" i="119"/>
  <c r="AI45" i="119"/>
  <c r="AH45" i="119"/>
  <c r="AG45" i="119"/>
  <c r="AF45" i="119"/>
  <c r="AB45" i="119"/>
  <c r="AA45" i="119"/>
  <c r="Z45" i="119"/>
  <c r="Y45" i="119"/>
  <c r="U45" i="119"/>
  <c r="T45" i="119"/>
  <c r="S45" i="119"/>
  <c r="R45" i="119"/>
  <c r="N45" i="119"/>
  <c r="M45" i="119"/>
  <c r="L45" i="119"/>
  <c r="K45" i="119"/>
  <c r="BH44" i="119"/>
  <c r="AP44" i="119"/>
  <c r="AO44" i="119"/>
  <c r="AN44" i="119"/>
  <c r="AM44" i="119"/>
  <c r="AI44" i="119"/>
  <c r="AH44" i="119"/>
  <c r="AG44" i="119"/>
  <c r="AF44" i="119"/>
  <c r="AB44" i="119"/>
  <c r="AA44" i="119"/>
  <c r="Z44" i="119"/>
  <c r="Y44" i="119"/>
  <c r="U44" i="119"/>
  <c r="T44" i="119"/>
  <c r="S44" i="119"/>
  <c r="R44" i="119"/>
  <c r="N44" i="119"/>
  <c r="M44" i="119"/>
  <c r="L44" i="119"/>
  <c r="K44" i="119"/>
  <c r="BH43" i="119"/>
  <c r="AP43" i="119"/>
  <c r="AO43" i="119"/>
  <c r="AN43" i="119"/>
  <c r="AM43" i="119"/>
  <c r="AI43" i="119"/>
  <c r="AH43" i="119"/>
  <c r="AG43" i="119"/>
  <c r="AF43" i="119"/>
  <c r="AB43" i="119"/>
  <c r="AA43" i="119"/>
  <c r="Z43" i="119"/>
  <c r="Y43" i="119"/>
  <c r="U43" i="119"/>
  <c r="T43" i="119"/>
  <c r="S43" i="119"/>
  <c r="R43" i="119"/>
  <c r="N43" i="119"/>
  <c r="M43" i="119"/>
  <c r="L43" i="119"/>
  <c r="K43" i="119"/>
  <c r="AO42" i="119"/>
  <c r="AN42" i="119"/>
  <c r="AM42" i="119"/>
  <c r="AH42" i="119"/>
  <c r="AG42" i="119"/>
  <c r="AF42" i="119"/>
  <c r="AA42" i="119"/>
  <c r="Z42" i="119"/>
  <c r="Y42" i="119"/>
  <c r="U42" i="119"/>
  <c r="T42" i="119"/>
  <c r="S42" i="119"/>
  <c r="R42" i="119"/>
  <c r="N42" i="119"/>
  <c r="M42" i="119"/>
  <c r="L42" i="119"/>
  <c r="K42" i="119"/>
  <c r="BH41" i="119"/>
  <c r="AP41" i="119"/>
  <c r="AO41" i="119"/>
  <c r="AN41" i="119"/>
  <c r="AM41" i="119"/>
  <c r="AI41" i="119"/>
  <c r="AH41" i="119"/>
  <c r="AG41" i="119"/>
  <c r="AF41" i="119"/>
  <c r="AB41" i="119"/>
  <c r="AA41" i="119"/>
  <c r="Z41" i="119"/>
  <c r="Y41" i="119"/>
  <c r="U41" i="119"/>
  <c r="T41" i="119"/>
  <c r="S41" i="119"/>
  <c r="R41" i="119"/>
  <c r="N41" i="119"/>
  <c r="M41" i="119"/>
  <c r="L41" i="119"/>
  <c r="K41" i="119"/>
  <c r="BH40" i="119"/>
  <c r="AP40" i="119"/>
  <c r="AO40" i="119"/>
  <c r="AN40" i="119"/>
  <c r="AM40" i="119"/>
  <c r="AI40" i="119"/>
  <c r="AH40" i="119"/>
  <c r="AG40" i="119"/>
  <c r="AF40" i="119"/>
  <c r="AB40" i="119"/>
  <c r="AA40" i="119"/>
  <c r="Z40" i="119"/>
  <c r="Y40" i="119"/>
  <c r="U40" i="119"/>
  <c r="T40" i="119"/>
  <c r="S40" i="119"/>
  <c r="R40" i="119"/>
  <c r="N40" i="119"/>
  <c r="M40" i="119"/>
  <c r="L40" i="119"/>
  <c r="K40" i="119"/>
  <c r="BH39" i="119"/>
  <c r="AP39" i="119"/>
  <c r="AO39" i="119"/>
  <c r="AN39" i="119"/>
  <c r="AM39" i="119"/>
  <c r="AI39" i="119"/>
  <c r="AH39" i="119"/>
  <c r="AG39" i="119"/>
  <c r="AF39" i="119"/>
  <c r="AB39" i="119"/>
  <c r="AA39" i="119"/>
  <c r="Z39" i="119"/>
  <c r="Y39" i="119"/>
  <c r="U39" i="119"/>
  <c r="T39" i="119"/>
  <c r="S39" i="119"/>
  <c r="R39" i="119"/>
  <c r="N39" i="119"/>
  <c r="M39" i="119"/>
  <c r="L39" i="119"/>
  <c r="K39" i="119"/>
  <c r="BH38" i="119"/>
  <c r="CF38" i="119" s="1"/>
  <c r="AP38" i="119"/>
  <c r="AO38" i="119"/>
  <c r="AN38" i="119"/>
  <c r="AM38" i="119"/>
  <c r="AI38" i="119"/>
  <c r="AH38" i="119"/>
  <c r="AG38" i="119"/>
  <c r="AF38" i="119"/>
  <c r="AB38" i="119"/>
  <c r="AA38" i="119"/>
  <c r="Z38" i="119"/>
  <c r="Y38" i="119"/>
  <c r="U38" i="119"/>
  <c r="T38" i="119"/>
  <c r="S38" i="119"/>
  <c r="R38" i="119"/>
  <c r="N38" i="119"/>
  <c r="M38" i="119"/>
  <c r="L38" i="119"/>
  <c r="K38" i="119"/>
  <c r="BH36" i="119"/>
  <c r="AP36" i="119"/>
  <c r="AO36" i="119"/>
  <c r="AN36" i="119"/>
  <c r="AM36" i="119"/>
  <c r="AI36" i="119"/>
  <c r="AH36" i="119"/>
  <c r="AG36" i="119"/>
  <c r="AF36" i="119"/>
  <c r="AB36" i="119"/>
  <c r="AA36" i="119"/>
  <c r="Z36" i="119"/>
  <c r="Y36" i="119"/>
  <c r="U36" i="119"/>
  <c r="T36" i="119"/>
  <c r="S36" i="119"/>
  <c r="R36" i="119"/>
  <c r="N36" i="119"/>
  <c r="M36" i="119"/>
  <c r="L36" i="119"/>
  <c r="K36" i="119"/>
  <c r="BH35" i="119"/>
  <c r="AP35" i="119"/>
  <c r="AO35" i="119"/>
  <c r="AN35" i="119"/>
  <c r="AM35" i="119"/>
  <c r="AI35" i="119"/>
  <c r="AH35" i="119"/>
  <c r="AG35" i="119"/>
  <c r="AF35" i="119"/>
  <c r="AB35" i="119"/>
  <c r="AA35" i="119"/>
  <c r="Z35" i="119"/>
  <c r="Y35" i="119"/>
  <c r="U35" i="119"/>
  <c r="T35" i="119"/>
  <c r="S35" i="119"/>
  <c r="R35" i="119"/>
  <c r="N35" i="119"/>
  <c r="M35" i="119"/>
  <c r="L35" i="119"/>
  <c r="K35" i="119"/>
  <c r="BH34" i="119"/>
  <c r="AP34" i="119"/>
  <c r="AO34" i="119"/>
  <c r="AN34" i="119"/>
  <c r="AM34" i="119"/>
  <c r="AG34" i="119"/>
  <c r="AF34" i="119"/>
  <c r="AA34" i="119"/>
  <c r="Z34" i="119"/>
  <c r="Y34" i="119"/>
  <c r="S34" i="119"/>
  <c r="R34" i="119"/>
  <c r="M34" i="119"/>
  <c r="L34" i="119"/>
  <c r="K34" i="119"/>
  <c r="BH33" i="119"/>
  <c r="AP33" i="119"/>
  <c r="AO33" i="119"/>
  <c r="AN33" i="119"/>
  <c r="AM33" i="119"/>
  <c r="AI33" i="119"/>
  <c r="AG33" i="119"/>
  <c r="AF33" i="119"/>
  <c r="Z33" i="119"/>
  <c r="Y33" i="119"/>
  <c r="U33" i="119"/>
  <c r="S33" i="119"/>
  <c r="R33" i="119"/>
  <c r="L33" i="119"/>
  <c r="K33" i="119"/>
  <c r="BH32" i="119"/>
  <c r="AP32" i="119"/>
  <c r="AO32" i="119"/>
  <c r="AN32" i="119"/>
  <c r="AM32" i="119"/>
  <c r="AI32" i="119"/>
  <c r="AH32" i="119"/>
  <c r="AG32" i="119"/>
  <c r="AF32" i="119"/>
  <c r="AB32" i="119"/>
  <c r="AA32" i="119"/>
  <c r="Z32" i="119"/>
  <c r="Y32" i="119"/>
  <c r="U32" i="119"/>
  <c r="T32" i="119"/>
  <c r="S32" i="119"/>
  <c r="R32" i="119"/>
  <c r="N32" i="119"/>
  <c r="M32" i="119"/>
  <c r="L32" i="119"/>
  <c r="K32" i="119"/>
  <c r="BH31" i="119"/>
  <c r="AP31" i="119"/>
  <c r="AO31" i="119"/>
  <c r="AN31" i="119"/>
  <c r="AM31" i="119"/>
  <c r="AI31" i="119"/>
  <c r="AH31" i="119"/>
  <c r="AG31" i="119"/>
  <c r="AF31" i="119"/>
  <c r="AB31" i="119"/>
  <c r="AA31" i="119"/>
  <c r="Z31" i="119"/>
  <c r="Y31" i="119"/>
  <c r="U31" i="119"/>
  <c r="T31" i="119"/>
  <c r="S31" i="119"/>
  <c r="R31" i="119"/>
  <c r="N31" i="119"/>
  <c r="M31" i="119"/>
  <c r="L31" i="119"/>
  <c r="K31" i="119"/>
  <c r="BH30" i="119"/>
  <c r="AP30" i="119"/>
  <c r="AO30" i="119"/>
  <c r="AN30" i="119"/>
  <c r="AM30" i="119"/>
  <c r="AI30" i="119"/>
  <c r="AH30" i="119"/>
  <c r="AG30" i="119"/>
  <c r="AF30" i="119"/>
  <c r="AB30" i="119"/>
  <c r="AA30" i="119"/>
  <c r="Z30" i="119"/>
  <c r="Y30" i="119"/>
  <c r="U30" i="119"/>
  <c r="T30" i="119"/>
  <c r="S30" i="119"/>
  <c r="R30" i="119"/>
  <c r="N30" i="119"/>
  <c r="M30" i="119"/>
  <c r="L30" i="119"/>
  <c r="K30" i="119"/>
  <c r="BH29" i="119"/>
  <c r="AP29" i="119"/>
  <c r="AO29" i="119"/>
  <c r="AN29" i="119"/>
  <c r="AM29" i="119"/>
  <c r="AG29" i="119"/>
  <c r="AF29" i="119"/>
  <c r="AA29" i="119"/>
  <c r="Z29" i="119"/>
  <c r="Y29" i="119"/>
  <c r="S29" i="119"/>
  <c r="R29" i="119"/>
  <c r="M29" i="119"/>
  <c r="L29" i="119"/>
  <c r="K29" i="119"/>
  <c r="BH28" i="119"/>
  <c r="AP28" i="119"/>
  <c r="AO28" i="119"/>
  <c r="AN28" i="119"/>
  <c r="AM28" i="119"/>
  <c r="AI28" i="119"/>
  <c r="AH28" i="119"/>
  <c r="AG28" i="119"/>
  <c r="AF28" i="119"/>
  <c r="AB28" i="119"/>
  <c r="AA28" i="119"/>
  <c r="Z28" i="119"/>
  <c r="Y28" i="119"/>
  <c r="U28" i="119"/>
  <c r="T28" i="119"/>
  <c r="S28" i="119"/>
  <c r="R28" i="119"/>
  <c r="N28" i="119"/>
  <c r="M28" i="119"/>
  <c r="L28" i="119"/>
  <c r="K28" i="119"/>
  <c r="BH27" i="119"/>
  <c r="CF27" i="119" s="1"/>
  <c r="AP27" i="119"/>
  <c r="AO27" i="119"/>
  <c r="AN27" i="119"/>
  <c r="AM27" i="119"/>
  <c r="AI27" i="119"/>
  <c r="AH27" i="119"/>
  <c r="AG27" i="119"/>
  <c r="AF27" i="119"/>
  <c r="AB27" i="119"/>
  <c r="AA27" i="119"/>
  <c r="Z27" i="119"/>
  <c r="Y27" i="119"/>
  <c r="U27" i="119"/>
  <c r="T27" i="119"/>
  <c r="S27" i="119"/>
  <c r="R27" i="119"/>
  <c r="N27" i="119"/>
  <c r="M27" i="119"/>
  <c r="L27" i="119"/>
  <c r="K27" i="119"/>
  <c r="BH26" i="119"/>
  <c r="AP26" i="119"/>
  <c r="AO26" i="119"/>
  <c r="AN26" i="119"/>
  <c r="AM26" i="119"/>
  <c r="AI26" i="119"/>
  <c r="AH26" i="119"/>
  <c r="AG26" i="119"/>
  <c r="AF26" i="119"/>
  <c r="AB26" i="119"/>
  <c r="AA26" i="119"/>
  <c r="Z26" i="119"/>
  <c r="Y26" i="119"/>
  <c r="U26" i="119"/>
  <c r="T26" i="119"/>
  <c r="S26" i="119"/>
  <c r="R26" i="119"/>
  <c r="N26" i="119"/>
  <c r="M26" i="119"/>
  <c r="L26" i="119"/>
  <c r="K26" i="119"/>
  <c r="BH25" i="119"/>
  <c r="AP25" i="119"/>
  <c r="AO25" i="119"/>
  <c r="AN25" i="119"/>
  <c r="AM25" i="119"/>
  <c r="AI25" i="119"/>
  <c r="AH25" i="119"/>
  <c r="AG25" i="119"/>
  <c r="AF25" i="119"/>
  <c r="AB25" i="119"/>
  <c r="AA25" i="119"/>
  <c r="Z25" i="119"/>
  <c r="Y25" i="119"/>
  <c r="U25" i="119"/>
  <c r="T25" i="119"/>
  <c r="S25" i="119"/>
  <c r="R25" i="119"/>
  <c r="N25" i="119"/>
  <c r="M25" i="119"/>
  <c r="L25" i="119"/>
  <c r="K25" i="119"/>
  <c r="BH24" i="119"/>
  <c r="AP24" i="119"/>
  <c r="AO24" i="119"/>
  <c r="AN24" i="119"/>
  <c r="AM24" i="119"/>
  <c r="AI24" i="119"/>
  <c r="AH24" i="119"/>
  <c r="AG24" i="119"/>
  <c r="AF24" i="119"/>
  <c r="AB24" i="119"/>
  <c r="AA24" i="119"/>
  <c r="Z24" i="119"/>
  <c r="Y24" i="119"/>
  <c r="U24" i="119"/>
  <c r="T24" i="119"/>
  <c r="S24" i="119"/>
  <c r="R24" i="119"/>
  <c r="N24" i="119"/>
  <c r="M24" i="119"/>
  <c r="L24" i="119"/>
  <c r="K24" i="119"/>
  <c r="BH23" i="119"/>
  <c r="AP23" i="119"/>
  <c r="AO23" i="119"/>
  <c r="AN23" i="119"/>
  <c r="AM23" i="119"/>
  <c r="AI23" i="119"/>
  <c r="AH23" i="119"/>
  <c r="AG23" i="119"/>
  <c r="AF23" i="119"/>
  <c r="AB23" i="119"/>
  <c r="AA23" i="119"/>
  <c r="Z23" i="119"/>
  <c r="Y23" i="119"/>
  <c r="U23" i="119"/>
  <c r="T23" i="119"/>
  <c r="S23" i="119"/>
  <c r="R23" i="119"/>
  <c r="N23" i="119"/>
  <c r="M23" i="119"/>
  <c r="L23" i="119"/>
  <c r="K23" i="119"/>
  <c r="BH22" i="119"/>
  <c r="AP22" i="119"/>
  <c r="AO22" i="119"/>
  <c r="AN22" i="119"/>
  <c r="AM22" i="119"/>
  <c r="AI22" i="119"/>
  <c r="AH22" i="119"/>
  <c r="AG22" i="119"/>
  <c r="AF22" i="119"/>
  <c r="AB22" i="119"/>
  <c r="AA22" i="119"/>
  <c r="Z22" i="119"/>
  <c r="Y22" i="119"/>
  <c r="U22" i="119"/>
  <c r="T22" i="119"/>
  <c r="S22" i="119"/>
  <c r="R22" i="119"/>
  <c r="N22" i="119"/>
  <c r="M22" i="119"/>
  <c r="L22" i="119"/>
  <c r="K22" i="119"/>
  <c r="BH21" i="119"/>
  <c r="AP21" i="119"/>
  <c r="AO21" i="119"/>
  <c r="AN21" i="119"/>
  <c r="AM21" i="119"/>
  <c r="AI21" i="119"/>
  <c r="AH21" i="119"/>
  <c r="AG21" i="119"/>
  <c r="AF21" i="119"/>
  <c r="AB21" i="119"/>
  <c r="AA21" i="119"/>
  <c r="Z21" i="119"/>
  <c r="Y21" i="119"/>
  <c r="U21" i="119"/>
  <c r="T21" i="119"/>
  <c r="S21" i="119"/>
  <c r="R21" i="119"/>
  <c r="N21" i="119"/>
  <c r="M21" i="119"/>
  <c r="L21" i="119"/>
  <c r="K21" i="119"/>
  <c r="BH20" i="119"/>
  <c r="AP20" i="119"/>
  <c r="AI20" i="119"/>
  <c r="AB20" i="119"/>
  <c r="U20" i="119"/>
  <c r="N20" i="119"/>
  <c r="BH19" i="119"/>
  <c r="AP19" i="119"/>
  <c r="AO19" i="119"/>
  <c r="AN19" i="119"/>
  <c r="AM19" i="119"/>
  <c r="AI19" i="119"/>
  <c r="AH19" i="119"/>
  <c r="AG19" i="119"/>
  <c r="AF19" i="119"/>
  <c r="AB19" i="119"/>
  <c r="AA19" i="119"/>
  <c r="Z19" i="119"/>
  <c r="Y19" i="119"/>
  <c r="U19" i="119"/>
  <c r="T19" i="119"/>
  <c r="S19" i="119"/>
  <c r="R19" i="119"/>
  <c r="N19" i="119"/>
  <c r="M19" i="119"/>
  <c r="L19" i="119"/>
  <c r="K19" i="119"/>
  <c r="BH18" i="119"/>
  <c r="AP18" i="119"/>
  <c r="AO18" i="119"/>
  <c r="AN18" i="119"/>
  <c r="AM18" i="119"/>
  <c r="AI18" i="119"/>
  <c r="AH18" i="119"/>
  <c r="AG18" i="119"/>
  <c r="AF18" i="119"/>
  <c r="AB18" i="119"/>
  <c r="AA18" i="119"/>
  <c r="Z18" i="119"/>
  <c r="Y18" i="119"/>
  <c r="U18" i="119"/>
  <c r="T18" i="119"/>
  <c r="S18" i="119"/>
  <c r="R18" i="119"/>
  <c r="N18" i="119"/>
  <c r="M18" i="119"/>
  <c r="L18" i="119"/>
  <c r="K18" i="119"/>
  <c r="BH17" i="119"/>
  <c r="AP17" i="119"/>
  <c r="AO17" i="119"/>
  <c r="AN17" i="119"/>
  <c r="AM17" i="119"/>
  <c r="AI17" i="119"/>
  <c r="AH17" i="119"/>
  <c r="AG17" i="119"/>
  <c r="AF17" i="119"/>
  <c r="AB17" i="119"/>
  <c r="AA17" i="119"/>
  <c r="Z17" i="119"/>
  <c r="Y17" i="119"/>
  <c r="U17" i="119"/>
  <c r="T17" i="119"/>
  <c r="S17" i="119"/>
  <c r="R17" i="119"/>
  <c r="N17" i="119"/>
  <c r="M17" i="119"/>
  <c r="L17" i="119"/>
  <c r="K17" i="119"/>
  <c r="BH16" i="119"/>
  <c r="AP16" i="119"/>
  <c r="AO16" i="119"/>
  <c r="AN16" i="119"/>
  <c r="AM16" i="119"/>
  <c r="AI16" i="119"/>
  <c r="AH16" i="119"/>
  <c r="AG16" i="119"/>
  <c r="AF16" i="119"/>
  <c r="AB16" i="119"/>
  <c r="AA16" i="119"/>
  <c r="Z16" i="119"/>
  <c r="Y16" i="119"/>
  <c r="U16" i="119"/>
  <c r="T16" i="119"/>
  <c r="S16" i="119"/>
  <c r="R16" i="119"/>
  <c r="N16" i="119"/>
  <c r="M16" i="119"/>
  <c r="L16" i="119"/>
  <c r="K16" i="119"/>
  <c r="BH15" i="119"/>
  <c r="AP15" i="119"/>
  <c r="AO15" i="119"/>
  <c r="AN15" i="119"/>
  <c r="AM15" i="119"/>
  <c r="AI15" i="119"/>
  <c r="AH15" i="119"/>
  <c r="AG15" i="119"/>
  <c r="AF15" i="119"/>
  <c r="AB15" i="119"/>
  <c r="AA15" i="119"/>
  <c r="Z15" i="119"/>
  <c r="Y15" i="119"/>
  <c r="U15" i="119"/>
  <c r="T15" i="119"/>
  <c r="S15" i="119"/>
  <c r="R15" i="119"/>
  <c r="N15" i="119"/>
  <c r="M15" i="119"/>
  <c r="L15" i="119"/>
  <c r="K15" i="119"/>
  <c r="AO14" i="119"/>
  <c r="AN14" i="119"/>
  <c r="AI14" i="119"/>
  <c r="AH14" i="119"/>
  <c r="AG14" i="119"/>
  <c r="AA14" i="119"/>
  <c r="Z14" i="119"/>
  <c r="U14" i="119"/>
  <c r="T14" i="119"/>
  <c r="S14" i="119"/>
  <c r="R14" i="119"/>
  <c r="N14" i="119"/>
  <c r="M14" i="119"/>
  <c r="L14" i="119"/>
  <c r="K14" i="119"/>
  <c r="BH13" i="119"/>
  <c r="AP13" i="119"/>
  <c r="AO13" i="119"/>
  <c r="AN13" i="119"/>
  <c r="AM13" i="119"/>
  <c r="AI13" i="119"/>
  <c r="AH13" i="119"/>
  <c r="AG13" i="119"/>
  <c r="AF13" i="119"/>
  <c r="AB13" i="119"/>
  <c r="AA13" i="119"/>
  <c r="Z13" i="119"/>
  <c r="Y13" i="119"/>
  <c r="U13" i="119"/>
  <c r="T13" i="119"/>
  <c r="S13" i="119"/>
  <c r="R13" i="119"/>
  <c r="N13" i="119"/>
  <c r="M13" i="119"/>
  <c r="L13" i="119"/>
  <c r="K13" i="119"/>
  <c r="BH12" i="119"/>
  <c r="CF12" i="119" s="1"/>
  <c r="AP12" i="119"/>
  <c r="AO12" i="119"/>
  <c r="AN12" i="119"/>
  <c r="AM12" i="119"/>
  <c r="AI12" i="119"/>
  <c r="AH12" i="119"/>
  <c r="AG12" i="119"/>
  <c r="AF12" i="119"/>
  <c r="AB12" i="119"/>
  <c r="AA12" i="119"/>
  <c r="Z12" i="119"/>
  <c r="Y12" i="119"/>
  <c r="U12" i="119"/>
  <c r="T12" i="119"/>
  <c r="S12" i="119"/>
  <c r="R12" i="119"/>
  <c r="N12" i="119"/>
  <c r="M12" i="119"/>
  <c r="L12" i="119"/>
  <c r="K12" i="119"/>
  <c r="F10" i="119"/>
  <c r="C49" i="116"/>
  <c r="E48" i="116"/>
  <c r="D48" i="116"/>
  <c r="E47" i="116"/>
  <c r="D47" i="116"/>
  <c r="E46" i="116"/>
  <c r="D46" i="116"/>
  <c r="E45" i="116"/>
  <c r="D45" i="116"/>
  <c r="E44" i="116"/>
  <c r="D44" i="116"/>
  <c r="E43" i="116"/>
  <c r="D43" i="116"/>
  <c r="E42" i="116"/>
  <c r="D42" i="116"/>
  <c r="E41" i="116"/>
  <c r="D41" i="116"/>
  <c r="E40" i="116"/>
  <c r="D40" i="116"/>
  <c r="E39" i="116"/>
  <c r="D39" i="116"/>
  <c r="E38" i="116"/>
  <c r="D38" i="116"/>
  <c r="E37" i="116"/>
  <c r="D37" i="116"/>
  <c r="E36" i="116"/>
  <c r="D36" i="116"/>
  <c r="E35" i="116"/>
  <c r="D35" i="116"/>
  <c r="E34" i="116"/>
  <c r="D34" i="116"/>
  <c r="E32" i="116"/>
  <c r="D32" i="116"/>
  <c r="E30" i="116"/>
  <c r="D30" i="116"/>
  <c r="E29" i="116"/>
  <c r="D29" i="116"/>
  <c r="E28" i="116"/>
  <c r="D28" i="116"/>
  <c r="E26" i="116"/>
  <c r="D26" i="116"/>
  <c r="E25" i="116"/>
  <c r="D25" i="116"/>
  <c r="E24" i="116"/>
  <c r="D24" i="116"/>
  <c r="E23" i="116"/>
  <c r="D23" i="116"/>
  <c r="E22" i="116"/>
  <c r="D22" i="116"/>
  <c r="E21" i="116"/>
  <c r="D21" i="116"/>
  <c r="E20" i="116"/>
  <c r="D20" i="116"/>
  <c r="E19" i="116"/>
  <c r="D19" i="116"/>
  <c r="E18" i="116"/>
  <c r="D18" i="116"/>
  <c r="E17" i="116"/>
  <c r="D17" i="116"/>
  <c r="E16" i="116"/>
  <c r="D16" i="116"/>
  <c r="E15" i="116"/>
  <c r="D15" i="116"/>
  <c r="E14" i="116"/>
  <c r="D14" i="116"/>
  <c r="E13" i="116"/>
  <c r="D13" i="116"/>
  <c r="E12" i="116"/>
  <c r="D12" i="116"/>
  <c r="E11" i="116"/>
  <c r="D11" i="116"/>
  <c r="E10" i="116"/>
  <c r="D10" i="116"/>
  <c r="E9" i="116"/>
  <c r="D9" i="116"/>
  <c r="R51" i="119"/>
  <c r="AI34" i="119"/>
  <c r="AH34" i="119"/>
  <c r="E31" i="116"/>
  <c r="AH33" i="119"/>
  <c r="E27" i="116"/>
  <c r="L51" i="119"/>
  <c r="Y47" i="119"/>
  <c r="AA33" i="119"/>
  <c r="D27" i="116"/>
  <c r="AA51" i="119"/>
  <c r="AI81" i="135" l="1"/>
  <c r="AI76" i="135"/>
  <c r="AI70" i="135"/>
  <c r="AI69" i="135"/>
  <c r="AI80" i="135"/>
  <c r="AI86" i="135"/>
  <c r="AI74" i="135"/>
  <c r="AI82" i="135"/>
  <c r="AI50" i="135"/>
  <c r="AI71" i="135"/>
  <c r="AI87" i="135"/>
  <c r="AI79" i="135"/>
  <c r="AI72" i="135"/>
  <c r="AI78" i="135"/>
  <c r="AI47" i="135"/>
  <c r="AI60" i="135"/>
  <c r="AI51" i="135"/>
  <c r="AI44" i="135"/>
  <c r="AI42" i="135"/>
  <c r="AI56" i="135"/>
  <c r="AI77" i="135"/>
  <c r="AI45" i="135"/>
  <c r="AI52" i="135"/>
  <c r="AI43" i="135"/>
  <c r="AI84" i="135"/>
  <c r="AI49" i="135"/>
  <c r="AI41" i="135"/>
  <c r="AI73" i="135"/>
  <c r="AI88" i="135"/>
  <c r="AI53" i="135"/>
  <c r="AI46" i="135"/>
  <c r="AI85" i="135"/>
  <c r="AI75" i="135"/>
  <c r="AI58" i="135"/>
  <c r="P45" i="129"/>
  <c r="P46" i="129" s="1"/>
  <c r="E14" i="132" s="1"/>
  <c r="F14" i="132" s="1"/>
  <c r="P63" i="129"/>
  <c r="P64" i="129" s="1"/>
  <c r="E23" i="132" s="1"/>
  <c r="F23" i="132" s="1"/>
  <c r="AM39" i="134"/>
  <c r="AN35" i="134" s="1"/>
  <c r="AI48" i="135"/>
  <c r="AI54" i="135"/>
  <c r="AI57" i="135"/>
  <c r="AN31" i="134"/>
  <c r="AM56" i="134"/>
  <c r="AN38" i="129"/>
  <c r="AN40" i="129"/>
  <c r="AN45" i="129"/>
  <c r="AN37" i="129"/>
  <c r="AN44" i="129"/>
  <c r="AN41" i="129"/>
  <c r="AN42" i="129"/>
  <c r="AN39" i="129"/>
  <c r="AN43" i="129"/>
  <c r="AN63" i="129"/>
  <c r="AN62" i="129"/>
  <c r="AN56" i="129"/>
  <c r="AN58" i="129"/>
  <c r="AN55" i="129"/>
  <c r="AN59" i="129"/>
  <c r="AN61" i="129"/>
  <c r="AN60" i="129"/>
  <c r="AN57" i="129"/>
  <c r="AI17" i="135"/>
  <c r="AN21" i="134"/>
  <c r="AN13" i="134"/>
  <c r="AI31" i="135"/>
  <c r="AI26" i="135"/>
  <c r="AI16" i="135"/>
  <c r="AI19" i="135"/>
  <c r="AN20" i="134"/>
  <c r="AI30" i="135"/>
  <c r="AI20" i="135"/>
  <c r="AI15" i="135"/>
  <c r="AI28" i="135"/>
  <c r="AI29" i="135"/>
  <c r="AI27" i="135"/>
  <c r="AI24" i="135"/>
  <c r="AI25" i="135"/>
  <c r="AI14" i="135"/>
  <c r="AI18" i="135"/>
  <c r="AI32" i="135"/>
  <c r="AN17" i="134"/>
  <c r="AN20" i="129"/>
  <c r="AN19" i="129"/>
  <c r="AN21" i="129"/>
  <c r="AN18" i="129"/>
  <c r="AN23" i="129"/>
  <c r="AN17" i="129"/>
  <c r="AN15" i="134"/>
  <c r="AN16" i="134"/>
  <c r="AN22" i="129"/>
  <c r="AN16" i="129"/>
  <c r="AN19" i="134"/>
  <c r="AN14" i="134"/>
  <c r="AN24" i="129"/>
  <c r="AI21" i="135"/>
  <c r="AI22" i="135"/>
  <c r="AI23" i="135"/>
  <c r="D51" i="119"/>
  <c r="BT20" i="119"/>
  <c r="CF20" i="119"/>
  <c r="BT27" i="119"/>
  <c r="BT41" i="119"/>
  <c r="CF41" i="119"/>
  <c r="BT45" i="119"/>
  <c r="CF45" i="119"/>
  <c r="BT32" i="119"/>
  <c r="CF32" i="119"/>
  <c r="BT38" i="119"/>
  <c r="BT48" i="119"/>
  <c r="CF48" i="119"/>
  <c r="BT19" i="119"/>
  <c r="CF19" i="119"/>
  <c r="BT26" i="119"/>
  <c r="CF26" i="119"/>
  <c r="BT35" i="119"/>
  <c r="CF35" i="119"/>
  <c r="BT24" i="119"/>
  <c r="CF24" i="119"/>
  <c r="BT44" i="119"/>
  <c r="CF44" i="119"/>
  <c r="BT50" i="119"/>
  <c r="CF50" i="119"/>
  <c r="BT33" i="119"/>
  <c r="CF33" i="119"/>
  <c r="BT21" i="119"/>
  <c r="CF21" i="119"/>
  <c r="BT28" i="119"/>
  <c r="CF28" i="119"/>
  <c r="BT34" i="119"/>
  <c r="CF34" i="119"/>
  <c r="BT46" i="119"/>
  <c r="CF46" i="119"/>
  <c r="BT17" i="119"/>
  <c r="CF17" i="119"/>
  <c r="BT40" i="119"/>
  <c r="CF40" i="119"/>
  <c r="BT16" i="119"/>
  <c r="CF16" i="119"/>
  <c r="BT29" i="119"/>
  <c r="CF29" i="119"/>
  <c r="BT13" i="119"/>
  <c r="CF13" i="119"/>
  <c r="BT23" i="119"/>
  <c r="CF23" i="119"/>
  <c r="BT36" i="119"/>
  <c r="CF36" i="119"/>
  <c r="BT31" i="119"/>
  <c r="CF31" i="119"/>
  <c r="BT47" i="119"/>
  <c r="CF47" i="119"/>
  <c r="BT12" i="119"/>
  <c r="BT18" i="119"/>
  <c r="CF18" i="119"/>
  <c r="BT25" i="119"/>
  <c r="CF25" i="119"/>
  <c r="BT15" i="119"/>
  <c r="CF15" i="119"/>
  <c r="BT39" i="119"/>
  <c r="CF39" i="119"/>
  <c r="BT43" i="119"/>
  <c r="CF43" i="119"/>
  <c r="BT49" i="119"/>
  <c r="CF49" i="119"/>
  <c r="BT22" i="119"/>
  <c r="CF22" i="119"/>
  <c r="BT30" i="119"/>
  <c r="CF30" i="119"/>
  <c r="C2" i="116"/>
  <c r="C4" i="116" s="1"/>
  <c r="BH51" i="119"/>
  <c r="AP51" i="119"/>
  <c r="AQ37" i="119" s="1"/>
  <c r="AB42" i="119"/>
  <c r="K51" i="119"/>
  <c r="D33" i="116"/>
  <c r="Y14" i="119"/>
  <c r="AM14" i="119"/>
  <c r="N29" i="119"/>
  <c r="AB29" i="119"/>
  <c r="N34" i="119"/>
  <c r="AB34" i="119"/>
  <c r="BH42" i="119"/>
  <c r="S51" i="119"/>
  <c r="AG51" i="119"/>
  <c r="K47" i="119"/>
  <c r="E33" i="116"/>
  <c r="E49" i="116" s="1"/>
  <c r="E2" i="116" s="1"/>
  <c r="E4" i="116" s="1"/>
  <c r="M33" i="119"/>
  <c r="AP42" i="119"/>
  <c r="AH51" i="119"/>
  <c r="U51" i="119"/>
  <c r="N33" i="119"/>
  <c r="AB33" i="119"/>
  <c r="AB47" i="119"/>
  <c r="AB14" i="119"/>
  <c r="AP14" i="119"/>
  <c r="F51" i="119"/>
  <c r="T29" i="119"/>
  <c r="AH29" i="119"/>
  <c r="T34" i="119"/>
  <c r="R47" i="119"/>
  <c r="D31" i="116"/>
  <c r="BH14" i="119"/>
  <c r="U29" i="119"/>
  <c r="AI29" i="119"/>
  <c r="U34" i="119"/>
  <c r="Z51" i="119"/>
  <c r="N51" i="119"/>
  <c r="T33" i="119"/>
  <c r="M51" i="119"/>
  <c r="AN30" i="134" l="1"/>
  <c r="AN32" i="134"/>
  <c r="AI89" i="135"/>
  <c r="AN38" i="134"/>
  <c r="AN33" i="134"/>
  <c r="AN37" i="134"/>
  <c r="AN34" i="134"/>
  <c r="AN36" i="134"/>
  <c r="E28" i="132"/>
  <c r="AI66" i="135" s="1"/>
  <c r="D28" i="132"/>
  <c r="AN44" i="134" s="1"/>
  <c r="C28" i="132"/>
  <c r="AN51" i="129" s="1"/>
  <c r="AO54" i="129" s="1"/>
  <c r="AP54" i="129" s="1"/>
  <c r="E19" i="132"/>
  <c r="D19" i="132"/>
  <c r="AN27" i="134" s="1"/>
  <c r="AO38" i="134" s="1"/>
  <c r="AP38" i="134" s="1"/>
  <c r="AR38" i="134" s="1"/>
  <c r="AS38" i="134" s="1"/>
  <c r="C19" i="132"/>
  <c r="AN33" i="129" s="1"/>
  <c r="AO36" i="129" s="1"/>
  <c r="AP36" i="129" s="1"/>
  <c r="AR36" i="129" s="1"/>
  <c r="AS36" i="129" s="1"/>
  <c r="AI61" i="135"/>
  <c r="AI33" i="135"/>
  <c r="AN51" i="134"/>
  <c r="AN54" i="134"/>
  <c r="AN50" i="134"/>
  <c r="AN52" i="134"/>
  <c r="AN49" i="134"/>
  <c r="AN48" i="134"/>
  <c r="AN55" i="134"/>
  <c r="AN53" i="134"/>
  <c r="AN47" i="134"/>
  <c r="AN46" i="129"/>
  <c r="AN64" i="129"/>
  <c r="AN25" i="129"/>
  <c r="AN22" i="134"/>
  <c r="O37" i="119"/>
  <c r="G51" i="119"/>
  <c r="H33" i="119" s="1"/>
  <c r="BT14" i="119"/>
  <c r="CF14" i="119"/>
  <c r="BT42" i="119"/>
  <c r="CF42" i="119"/>
  <c r="T51" i="119"/>
  <c r="O20" i="119"/>
  <c r="AB51" i="119"/>
  <c r="AC37" i="119" s="1"/>
  <c r="D49" i="116"/>
  <c r="D2" i="116" s="1"/>
  <c r="D4" i="116" s="1"/>
  <c r="F4" i="116" s="1"/>
  <c r="O13" i="119"/>
  <c r="O17" i="119"/>
  <c r="O50" i="119"/>
  <c r="O40" i="119"/>
  <c r="O43" i="119"/>
  <c r="O36" i="119"/>
  <c r="O42" i="119"/>
  <c r="O26" i="119"/>
  <c r="O23" i="119"/>
  <c r="O35" i="119"/>
  <c r="O47" i="119"/>
  <c r="O32" i="119"/>
  <c r="O15" i="119"/>
  <c r="O22" i="119"/>
  <c r="O24" i="119"/>
  <c r="O46" i="119"/>
  <c r="O44" i="119"/>
  <c r="O30" i="119"/>
  <c r="O25" i="119"/>
  <c r="O14" i="119"/>
  <c r="O18" i="119"/>
  <c r="O34" i="119"/>
  <c r="O27" i="119"/>
  <c r="O38" i="119"/>
  <c r="O29" i="119"/>
  <c r="O39" i="119"/>
  <c r="O45" i="119"/>
  <c r="O12" i="119"/>
  <c r="O31" i="119"/>
  <c r="O28" i="119"/>
  <c r="O41" i="119"/>
  <c r="O48" i="119"/>
  <c r="O21" i="119"/>
  <c r="O19" i="119"/>
  <c r="O16" i="119"/>
  <c r="O49" i="119"/>
  <c r="O33" i="119"/>
  <c r="AF51" i="119"/>
  <c r="AM51" i="119"/>
  <c r="AQ14" i="119" s="1"/>
  <c r="Y51" i="119"/>
  <c r="AI51" i="119"/>
  <c r="AJ37" i="119" s="1"/>
  <c r="AO43" i="129" l="1"/>
  <c r="AP43" i="129" s="1"/>
  <c r="AR43" i="129" s="1"/>
  <c r="AS43" i="129" s="1"/>
  <c r="AO34" i="134"/>
  <c r="AP34" i="134" s="1"/>
  <c r="AR34" i="134" s="1"/>
  <c r="AS34" i="134" s="1"/>
  <c r="AO37" i="134"/>
  <c r="AP37" i="134" s="1"/>
  <c r="AR37" i="134" s="1"/>
  <c r="AS37" i="134" s="1"/>
  <c r="AO30" i="134"/>
  <c r="AO31" i="134"/>
  <c r="AP31" i="134" s="1"/>
  <c r="AR31" i="134" s="1"/>
  <c r="AS31" i="134" s="1"/>
  <c r="AO41" i="129"/>
  <c r="AP41" i="129" s="1"/>
  <c r="AR41" i="129" s="1"/>
  <c r="AS41" i="129" s="1"/>
  <c r="AO47" i="134"/>
  <c r="AP47" i="134" s="1"/>
  <c r="AO32" i="134"/>
  <c r="AP32" i="134" s="1"/>
  <c r="AR32" i="134" s="1"/>
  <c r="AS32" i="134" s="1"/>
  <c r="AO39" i="129"/>
  <c r="AP39" i="129" s="1"/>
  <c r="AR39" i="129" s="1"/>
  <c r="AS39" i="129" s="1"/>
  <c r="AT36" i="129"/>
  <c r="AO36" i="134"/>
  <c r="AP36" i="134" s="1"/>
  <c r="AR36" i="134" s="1"/>
  <c r="AS36" i="134" s="1"/>
  <c r="AO37" i="129"/>
  <c r="AP37" i="129" s="1"/>
  <c r="AR37" i="129" s="1"/>
  <c r="AS37" i="129" s="1"/>
  <c r="AN39" i="134"/>
  <c r="AO35" i="134"/>
  <c r="AP35" i="134" s="1"/>
  <c r="AR35" i="134" s="1"/>
  <c r="AS35" i="134" s="1"/>
  <c r="AO42" i="129"/>
  <c r="AP42" i="129" s="1"/>
  <c r="AR42" i="129" s="1"/>
  <c r="AS42" i="129" s="1"/>
  <c r="AR54" i="129"/>
  <c r="AS54" i="129" s="1"/>
  <c r="AO62" i="129"/>
  <c r="AP62" i="129" s="1"/>
  <c r="AR62" i="129" s="1"/>
  <c r="AS62" i="129" s="1"/>
  <c r="AO56" i="129"/>
  <c r="AP56" i="129" s="1"/>
  <c r="AR56" i="129" s="1"/>
  <c r="AS56" i="129" s="1"/>
  <c r="AO61" i="129"/>
  <c r="AP61" i="129" s="1"/>
  <c r="AR61" i="129" s="1"/>
  <c r="AS61" i="129" s="1"/>
  <c r="AO57" i="129"/>
  <c r="AP57" i="129" s="1"/>
  <c r="AR57" i="129" s="1"/>
  <c r="AS57" i="129" s="1"/>
  <c r="AO58" i="129"/>
  <c r="AP58" i="129" s="1"/>
  <c r="AR58" i="129" s="1"/>
  <c r="AS58" i="129" s="1"/>
  <c r="AO64" i="129"/>
  <c r="AO55" i="129"/>
  <c r="AP55" i="129" s="1"/>
  <c r="AR55" i="129" s="1"/>
  <c r="AS55" i="129" s="1"/>
  <c r="AO59" i="129"/>
  <c r="AP59" i="129" s="1"/>
  <c r="AR59" i="129" s="1"/>
  <c r="AS59" i="129" s="1"/>
  <c r="AO60" i="129"/>
  <c r="AP60" i="129" s="1"/>
  <c r="AJ85" i="135"/>
  <c r="AL85" i="135" s="1"/>
  <c r="AN85" i="135" s="1"/>
  <c r="AO85" i="135" s="1"/>
  <c r="AJ72" i="135"/>
  <c r="AL72" i="135" s="1"/>
  <c r="AN72" i="135" s="1"/>
  <c r="AO72" i="135" s="1"/>
  <c r="AJ75" i="135"/>
  <c r="AL75" i="135" s="1"/>
  <c r="AN75" i="135" s="1"/>
  <c r="AO75" i="135" s="1"/>
  <c r="AJ78" i="135"/>
  <c r="AL78" i="135" s="1"/>
  <c r="AN78" i="135" s="1"/>
  <c r="AO78" i="135" s="1"/>
  <c r="AJ77" i="135"/>
  <c r="AL77" i="135" s="1"/>
  <c r="AN77" i="135" s="1"/>
  <c r="AO77" i="135" s="1"/>
  <c r="AJ69" i="135"/>
  <c r="AJ74" i="135"/>
  <c r="AL74" i="135" s="1"/>
  <c r="AN74" i="135" s="1"/>
  <c r="AO74" i="135" s="1"/>
  <c r="AJ86" i="135"/>
  <c r="AL86" i="135" s="1"/>
  <c r="AN86" i="135" s="1"/>
  <c r="AO86" i="135" s="1"/>
  <c r="AJ71" i="135"/>
  <c r="AL71" i="135" s="1"/>
  <c r="AN71" i="135" s="1"/>
  <c r="AO71" i="135" s="1"/>
  <c r="AJ84" i="135"/>
  <c r="AL84" i="135" s="1"/>
  <c r="AN84" i="135" s="1"/>
  <c r="AO84" i="135" s="1"/>
  <c r="AJ73" i="135"/>
  <c r="AL73" i="135" s="1"/>
  <c r="AN73" i="135" s="1"/>
  <c r="AO73" i="135" s="1"/>
  <c r="AJ82" i="135"/>
  <c r="AL82" i="135" s="1"/>
  <c r="AN82" i="135" s="1"/>
  <c r="AO82" i="135" s="1"/>
  <c r="AJ70" i="135"/>
  <c r="AL70" i="135" s="1"/>
  <c r="AN70" i="135" s="1"/>
  <c r="AO70" i="135" s="1"/>
  <c r="AJ88" i="135"/>
  <c r="AL88" i="135" s="1"/>
  <c r="AN88" i="135" s="1"/>
  <c r="AO88" i="135" s="1"/>
  <c r="AJ76" i="135"/>
  <c r="AL76" i="135" s="1"/>
  <c r="AN76" i="135" s="1"/>
  <c r="AO76" i="135" s="1"/>
  <c r="AJ83" i="135"/>
  <c r="AL83" i="135" s="1"/>
  <c r="AN83" i="135" s="1"/>
  <c r="AO83" i="135" s="1"/>
  <c r="AJ79" i="135"/>
  <c r="AL79" i="135" s="1"/>
  <c r="AN79" i="135" s="1"/>
  <c r="AO79" i="135" s="1"/>
  <c r="AJ80" i="135"/>
  <c r="AL80" i="135" s="1"/>
  <c r="AN80" i="135" s="1"/>
  <c r="AO80" i="135" s="1"/>
  <c r="AJ87" i="135"/>
  <c r="AL87" i="135" s="1"/>
  <c r="AN87" i="135" s="1"/>
  <c r="AJ81" i="135"/>
  <c r="AL81" i="135" s="1"/>
  <c r="AN81" i="135" s="1"/>
  <c r="AO81" i="135" s="1"/>
  <c r="AO63" i="129"/>
  <c r="AP63" i="129" s="1"/>
  <c r="AR63" i="129" s="1"/>
  <c r="AS63" i="129" s="1"/>
  <c r="AJ59" i="135"/>
  <c r="AL59" i="135" s="1"/>
  <c r="AN59" i="135" s="1"/>
  <c r="AJ50" i="135"/>
  <c r="AL50" i="135" s="1"/>
  <c r="AJ41" i="135"/>
  <c r="AJ60" i="135"/>
  <c r="AL60" i="135" s="1"/>
  <c r="AJ55" i="135"/>
  <c r="AL55" i="135" s="1"/>
  <c r="AJ46" i="135"/>
  <c r="AL46" i="135" s="1"/>
  <c r="AJ47" i="135"/>
  <c r="AL47" i="135" s="1"/>
  <c r="AJ58" i="135"/>
  <c r="AL58" i="135" s="1"/>
  <c r="AJ51" i="135"/>
  <c r="AL51" i="135" s="1"/>
  <c r="AJ44" i="135"/>
  <c r="AL44" i="135" s="1"/>
  <c r="AJ45" i="135"/>
  <c r="AL45" i="135" s="1"/>
  <c r="AJ49" i="135"/>
  <c r="AL49" i="135" s="1"/>
  <c r="AJ53" i="135"/>
  <c r="AL53" i="135" s="1"/>
  <c r="AJ42" i="135"/>
  <c r="AL42" i="135" s="1"/>
  <c r="AJ56" i="135"/>
  <c r="AL56" i="135" s="1"/>
  <c r="AJ52" i="135"/>
  <c r="AL52" i="135" s="1"/>
  <c r="AJ43" i="135"/>
  <c r="AL43" i="135" s="1"/>
  <c r="AJ54" i="135"/>
  <c r="AL54" i="135" s="1"/>
  <c r="AO44" i="129"/>
  <c r="AP44" i="129" s="1"/>
  <c r="AJ57" i="135"/>
  <c r="AL57" i="135" s="1"/>
  <c r="AO45" i="129"/>
  <c r="AP45" i="129" s="1"/>
  <c r="AO40" i="129"/>
  <c r="AP40" i="129" s="1"/>
  <c r="AO33" i="134"/>
  <c r="AP33" i="134" s="1"/>
  <c r="AR33" i="134" s="1"/>
  <c r="AS33" i="134" s="1"/>
  <c r="AO38" i="129"/>
  <c r="AP38" i="129" s="1"/>
  <c r="AJ48" i="135"/>
  <c r="AL48" i="135" s="1"/>
  <c r="AO52" i="134"/>
  <c r="AP52" i="134" s="1"/>
  <c r="AO50" i="134"/>
  <c r="AP50" i="134" s="1"/>
  <c r="AO54" i="134"/>
  <c r="AP54" i="134" s="1"/>
  <c r="AO51" i="134"/>
  <c r="AP51" i="134" s="1"/>
  <c r="AO49" i="134"/>
  <c r="AP49" i="134" s="1"/>
  <c r="AT32" i="134" s="1"/>
  <c r="AO55" i="134"/>
  <c r="AP55" i="134" s="1"/>
  <c r="AT38" i="134" s="1"/>
  <c r="AP30" i="134"/>
  <c r="AO53" i="134"/>
  <c r="AP53" i="134" s="1"/>
  <c r="AO48" i="134"/>
  <c r="AP48" i="134" s="1"/>
  <c r="AN56" i="134"/>
  <c r="H12" i="119"/>
  <c r="V24" i="119"/>
  <c r="V37" i="119"/>
  <c r="H37" i="119"/>
  <c r="H38" i="119"/>
  <c r="H26" i="119"/>
  <c r="H27" i="119"/>
  <c r="H22" i="119"/>
  <c r="H28" i="119"/>
  <c r="H29" i="119"/>
  <c r="V28" i="119"/>
  <c r="V41" i="119"/>
  <c r="H13" i="119"/>
  <c r="CF51" i="119"/>
  <c r="V15" i="119"/>
  <c r="V27" i="119"/>
  <c r="V23" i="119"/>
  <c r="H24" i="119"/>
  <c r="H44" i="119"/>
  <c r="H34" i="119"/>
  <c r="H19" i="119"/>
  <c r="H25" i="119"/>
  <c r="H48" i="119"/>
  <c r="H41" i="119"/>
  <c r="V17" i="119"/>
  <c r="V26" i="119"/>
  <c r="H14" i="119"/>
  <c r="H20" i="119"/>
  <c r="H18" i="119"/>
  <c r="H49" i="119"/>
  <c r="H40" i="119"/>
  <c r="V22" i="119"/>
  <c r="H47" i="119"/>
  <c r="H17" i="119"/>
  <c r="V42" i="119"/>
  <c r="V39" i="119"/>
  <c r="V45" i="119"/>
  <c r="V20" i="119"/>
  <c r="V38" i="119"/>
  <c r="H43" i="119"/>
  <c r="H15" i="119"/>
  <c r="V13" i="119"/>
  <c r="V29" i="119"/>
  <c r="V12" i="119"/>
  <c r="V46" i="119"/>
  <c r="V31" i="119"/>
  <c r="H30" i="119"/>
  <c r="V19" i="119"/>
  <c r="V44" i="119"/>
  <c r="V14" i="119"/>
  <c r="V50" i="119"/>
  <c r="H35" i="119"/>
  <c r="H16" i="119"/>
  <c r="V43" i="119"/>
  <c r="V33" i="119"/>
  <c r="V49" i="119"/>
  <c r="V35" i="119"/>
  <c r="V18" i="119"/>
  <c r="V36" i="119"/>
  <c r="V16" i="119"/>
  <c r="V32" i="119"/>
  <c r="V25" i="119"/>
  <c r="V21" i="119"/>
  <c r="H36" i="119"/>
  <c r="H32" i="119"/>
  <c r="H50" i="119"/>
  <c r="V34" i="119"/>
  <c r="H39" i="119"/>
  <c r="H45" i="119"/>
  <c r="V48" i="119"/>
  <c r="H31" i="119"/>
  <c r="V40" i="119"/>
  <c r="V47" i="119"/>
  <c r="H21" i="119"/>
  <c r="H46" i="119"/>
  <c r="V30" i="119"/>
  <c r="BT51" i="119"/>
  <c r="H23" i="119"/>
  <c r="H42" i="119"/>
  <c r="AJ20" i="119"/>
  <c r="AJ49" i="119"/>
  <c r="AJ33" i="119"/>
  <c r="AJ38" i="119"/>
  <c r="AJ30" i="119"/>
  <c r="AJ25" i="119"/>
  <c r="AC27" i="119"/>
  <c r="AC20" i="119"/>
  <c r="AQ20" i="119"/>
  <c r="AJ31" i="119"/>
  <c r="AJ21" i="119"/>
  <c r="AC19" i="119"/>
  <c r="AC34" i="119"/>
  <c r="AC33" i="119"/>
  <c r="AJ29" i="119"/>
  <c r="AJ50" i="119"/>
  <c r="AC46" i="119"/>
  <c r="AC23" i="119"/>
  <c r="AC13" i="119"/>
  <c r="AJ26" i="119"/>
  <c r="AC38" i="119"/>
  <c r="AC35" i="119"/>
  <c r="AC39" i="119"/>
  <c r="AJ36" i="119"/>
  <c r="AC48" i="119"/>
  <c r="AC17" i="119"/>
  <c r="AJ16" i="119"/>
  <c r="AC47" i="119"/>
  <c r="AC40" i="119"/>
  <c r="AC16" i="119"/>
  <c r="AC50" i="119"/>
  <c r="AC45" i="119"/>
  <c r="AC31" i="119"/>
  <c r="AC44" i="119"/>
  <c r="AC42" i="119"/>
  <c r="AJ47" i="119"/>
  <c r="AJ40" i="119"/>
  <c r="AJ44" i="119"/>
  <c r="AC36" i="119"/>
  <c r="AC14" i="119"/>
  <c r="AJ48" i="119"/>
  <c r="AC15" i="119"/>
  <c r="AJ14" i="119"/>
  <c r="AC29" i="119"/>
  <c r="AC24" i="119"/>
  <c r="AJ15" i="119"/>
  <c r="AJ19" i="119"/>
  <c r="AJ28" i="119"/>
  <c r="AJ22" i="119"/>
  <c r="AJ46" i="119"/>
  <c r="AJ45" i="119"/>
  <c r="AJ42" i="119"/>
  <c r="AC43" i="119"/>
  <c r="AJ43" i="119"/>
  <c r="AC30" i="119"/>
  <c r="AQ33" i="119"/>
  <c r="AQ16" i="119"/>
  <c r="AQ18" i="119"/>
  <c r="AQ46" i="119"/>
  <c r="AQ35" i="119"/>
  <c r="AQ43" i="119"/>
  <c r="AQ38" i="119"/>
  <c r="AQ26" i="119"/>
  <c r="AQ42" i="119"/>
  <c r="AQ45" i="119"/>
  <c r="AQ50" i="119"/>
  <c r="AQ36" i="119"/>
  <c r="AQ41" i="119"/>
  <c r="AQ25" i="119"/>
  <c r="AQ15" i="119"/>
  <c r="AQ47" i="119"/>
  <c r="AQ17" i="119"/>
  <c r="AQ28" i="119"/>
  <c r="AQ30" i="119"/>
  <c r="AQ40" i="119"/>
  <c r="AQ27" i="119"/>
  <c r="AQ13" i="119"/>
  <c r="AQ21" i="119"/>
  <c r="AQ31" i="119"/>
  <c r="AQ24" i="119"/>
  <c r="AQ29" i="119"/>
  <c r="AQ34" i="119"/>
  <c r="AQ48" i="119"/>
  <c r="AQ23" i="119"/>
  <c r="AQ12" i="119"/>
  <c r="AQ49" i="119"/>
  <c r="AQ39" i="119"/>
  <c r="AQ32" i="119"/>
  <c r="AQ44" i="119"/>
  <c r="AQ22" i="119"/>
  <c r="AQ19" i="119"/>
  <c r="AJ32" i="119"/>
  <c r="AC26" i="119"/>
  <c r="AC41" i="119"/>
  <c r="AC22" i="119"/>
  <c r="AJ17" i="119"/>
  <c r="AC49" i="119"/>
  <c r="AJ23" i="119"/>
  <c r="AJ24" i="119"/>
  <c r="AJ27" i="119"/>
  <c r="AJ41" i="119"/>
  <c r="AC25" i="119"/>
  <c r="AC21" i="119"/>
  <c r="AJ34" i="119"/>
  <c r="AJ39" i="119"/>
  <c r="AJ12" i="119"/>
  <c r="AC32" i="119"/>
  <c r="AC18" i="119"/>
  <c r="AJ18" i="119"/>
  <c r="AC28" i="119"/>
  <c r="AJ13" i="119"/>
  <c r="AC12" i="119"/>
  <c r="AJ35" i="119"/>
  <c r="AT31" i="134" l="1"/>
  <c r="AT36" i="134"/>
  <c r="AT37" i="134"/>
  <c r="AT34" i="134"/>
  <c r="AT39" i="129"/>
  <c r="AT35" i="134"/>
  <c r="AT37" i="129"/>
  <c r="AT43" i="129"/>
  <c r="AT41" i="129"/>
  <c r="AL69" i="135"/>
  <c r="AJ89" i="135"/>
  <c r="AR60" i="129"/>
  <c r="AS60" i="129" s="1"/>
  <c r="AT42" i="129"/>
  <c r="AP64" i="129"/>
  <c r="AP49" i="135"/>
  <c r="AN49" i="135"/>
  <c r="AO49" i="135" s="1"/>
  <c r="AP45" i="135"/>
  <c r="AN45" i="135"/>
  <c r="AO45" i="135" s="1"/>
  <c r="AT40" i="129"/>
  <c r="AR40" i="129"/>
  <c r="AS40" i="129" s="1"/>
  <c r="AN44" i="135"/>
  <c r="AO44" i="135" s="1"/>
  <c r="AP44" i="135"/>
  <c r="AR45" i="129"/>
  <c r="AS45" i="129" s="1"/>
  <c r="AT45" i="129"/>
  <c r="AN51" i="135"/>
  <c r="AO51" i="135" s="1"/>
  <c r="AP51" i="135"/>
  <c r="AO46" i="129"/>
  <c r="AN57" i="135"/>
  <c r="AO57" i="135" s="1"/>
  <c r="AP57" i="135"/>
  <c r="AN58" i="135"/>
  <c r="AO58" i="135" s="1"/>
  <c r="AP58" i="135"/>
  <c r="AP46" i="129"/>
  <c r="AT33" i="134"/>
  <c r="AR44" i="129"/>
  <c r="AS44" i="129" s="1"/>
  <c r="AT44" i="129"/>
  <c r="AN47" i="135"/>
  <c r="AO47" i="135" s="1"/>
  <c r="AP47" i="135"/>
  <c r="AN54" i="135"/>
  <c r="AO54" i="135" s="1"/>
  <c r="AP54" i="135"/>
  <c r="AN46" i="135"/>
  <c r="AO46" i="135" s="1"/>
  <c r="AP46" i="135"/>
  <c r="AN43" i="135"/>
  <c r="AO43" i="135" s="1"/>
  <c r="AP43" i="135"/>
  <c r="AP55" i="135"/>
  <c r="AN55" i="135"/>
  <c r="AO55" i="135" s="1"/>
  <c r="AP60" i="135"/>
  <c r="AN60" i="135"/>
  <c r="AO60" i="135" s="1"/>
  <c r="AN52" i="135"/>
  <c r="AO52" i="135" s="1"/>
  <c r="AP52" i="135"/>
  <c r="AN56" i="135"/>
  <c r="AO56" i="135" s="1"/>
  <c r="AP56" i="135"/>
  <c r="AL41" i="135"/>
  <c r="AJ61" i="135"/>
  <c r="AP48" i="135"/>
  <c r="AN48" i="135"/>
  <c r="AO48" i="135" s="1"/>
  <c r="AP42" i="135"/>
  <c r="AN42" i="135"/>
  <c r="AO42" i="135" s="1"/>
  <c r="AP50" i="135"/>
  <c r="AN50" i="135"/>
  <c r="AO50" i="135" s="1"/>
  <c r="AO39" i="134"/>
  <c r="AR38" i="129"/>
  <c r="AS38" i="129" s="1"/>
  <c r="AT38" i="129"/>
  <c r="AN53" i="135"/>
  <c r="AO53" i="135" s="1"/>
  <c r="AP53" i="135"/>
  <c r="AT30" i="134"/>
  <c r="AP39" i="134"/>
  <c r="AR49" i="134"/>
  <c r="AS49" i="134" s="1"/>
  <c r="AR51" i="134"/>
  <c r="AS51" i="134" s="1"/>
  <c r="AR30" i="134"/>
  <c r="AS30" i="134" s="1"/>
  <c r="AR55" i="134"/>
  <c r="AS55" i="134" s="1"/>
  <c r="AR54" i="134"/>
  <c r="AS54" i="134" s="1"/>
  <c r="AR52" i="134"/>
  <c r="AS52" i="134" s="1"/>
  <c r="AO56" i="134"/>
  <c r="AR48" i="134"/>
  <c r="AS48" i="134" s="1"/>
  <c r="AR53" i="134"/>
  <c r="AS53" i="134" s="1"/>
  <c r="AR50" i="134"/>
  <c r="AS50" i="134" s="1"/>
  <c r="AP56" i="134"/>
  <c r="AR47" i="134"/>
  <c r="AS47" i="134" s="1"/>
  <c r="I21" i="119"/>
  <c r="AK21" i="119" s="1"/>
  <c r="H51" i="119"/>
  <c r="I37" i="119"/>
  <c r="I50" i="119"/>
  <c r="AK50" i="119" s="1"/>
  <c r="I24" i="119"/>
  <c r="P24" i="119" s="1"/>
  <c r="I36" i="119"/>
  <c r="AR36" i="119" s="1"/>
  <c r="I42" i="119"/>
  <c r="AR42" i="119" s="1"/>
  <c r="I49" i="119"/>
  <c r="W49" i="119" s="1"/>
  <c r="I18" i="119"/>
  <c r="P18" i="119" s="1"/>
  <c r="I28" i="119"/>
  <c r="W28" i="119" s="1"/>
  <c r="I32" i="119"/>
  <c r="AR32" i="119" s="1"/>
  <c r="I40" i="119"/>
  <c r="AK40" i="119" s="1"/>
  <c r="I20" i="119"/>
  <c r="P20" i="119" s="1"/>
  <c r="I43" i="119"/>
  <c r="W43" i="119" s="1"/>
  <c r="I41" i="119"/>
  <c r="W41" i="119" s="1"/>
  <c r="I22" i="119"/>
  <c r="W22" i="119" s="1"/>
  <c r="I17" i="119"/>
  <c r="AR17" i="119" s="1"/>
  <c r="I47" i="119"/>
  <c r="AR47" i="119" s="1"/>
  <c r="I23" i="119"/>
  <c r="P23" i="119" s="1"/>
  <c r="I46" i="119"/>
  <c r="AD46" i="119" s="1"/>
  <c r="I31" i="119"/>
  <c r="AD31" i="119" s="1"/>
  <c r="I27" i="119"/>
  <c r="W27" i="119" s="1"/>
  <c r="I25" i="119"/>
  <c r="P25" i="119" s="1"/>
  <c r="I16" i="119"/>
  <c r="AD16" i="119" s="1"/>
  <c r="I19" i="119"/>
  <c r="AK19" i="119" s="1"/>
  <c r="I39" i="119"/>
  <c r="P39" i="119" s="1"/>
  <c r="I35" i="119"/>
  <c r="AR35" i="119" s="1"/>
  <c r="I34" i="119"/>
  <c r="P34" i="119" s="1"/>
  <c r="I12" i="119"/>
  <c r="AR12" i="119" s="1"/>
  <c r="I30" i="119"/>
  <c r="P30" i="119" s="1"/>
  <c r="I13" i="119"/>
  <c r="AR13" i="119" s="1"/>
  <c r="I14" i="119"/>
  <c r="AR14" i="119" s="1"/>
  <c r="I29" i="119"/>
  <c r="W29" i="119" s="1"/>
  <c r="I15" i="119"/>
  <c r="W15" i="119" s="1"/>
  <c r="I48" i="119"/>
  <c r="AK48" i="119" s="1"/>
  <c r="I26" i="119"/>
  <c r="AK26" i="119" s="1"/>
  <c r="I45" i="119"/>
  <c r="AR45" i="119" s="1"/>
  <c r="I38" i="119"/>
  <c r="P38" i="119" s="1"/>
  <c r="I44" i="119"/>
  <c r="W44" i="119" s="1"/>
  <c r="I33" i="119"/>
  <c r="AD33" i="119" s="1"/>
  <c r="AN69" i="135" l="1"/>
  <c r="AO69" i="135" s="1"/>
  <c r="AL89" i="135"/>
  <c r="AP65" i="129" s="1"/>
  <c r="AN41" i="135"/>
  <c r="AO41" i="135" s="1"/>
  <c r="AL61" i="135"/>
  <c r="AP47" i="129" s="1"/>
  <c r="AP41" i="135"/>
  <c r="AR37" i="119"/>
  <c r="P37" i="119"/>
  <c r="W37" i="119"/>
  <c r="AD37" i="119"/>
  <c r="AK37" i="119"/>
  <c r="AR26" i="119"/>
  <c r="P26" i="119"/>
  <c r="AD26" i="119"/>
  <c r="W26" i="119"/>
  <c r="W24" i="119"/>
  <c r="AK33" i="119"/>
  <c r="AR23" i="119"/>
  <c r="W31" i="119"/>
  <c r="AR33" i="119"/>
  <c r="AK17" i="119"/>
  <c r="W25" i="119"/>
  <c r="AD19" i="119"/>
  <c r="AD42" i="119"/>
  <c r="P19" i="119"/>
  <c r="W13" i="119"/>
  <c r="AK44" i="119"/>
  <c r="W33" i="119"/>
  <c r="P14" i="119"/>
  <c r="AK12" i="119"/>
  <c r="AD43" i="119"/>
  <c r="AD12" i="119"/>
  <c r="P47" i="119"/>
  <c r="AD14" i="119"/>
  <c r="P33" i="119"/>
  <c r="P48" i="119"/>
  <c r="P17" i="119"/>
  <c r="P40" i="119"/>
  <c r="AK24" i="119"/>
  <c r="AD40" i="119"/>
  <c r="AR24" i="119"/>
  <c r="W12" i="119"/>
  <c r="AK14" i="119"/>
  <c r="AK47" i="119"/>
  <c r="AR43" i="119"/>
  <c r="W40" i="119"/>
  <c r="AD24" i="119"/>
  <c r="AR25" i="119"/>
  <c r="AR40" i="119"/>
  <c r="AD17" i="119"/>
  <c r="W19" i="119"/>
  <c r="AD25" i="119"/>
  <c r="W17" i="119"/>
  <c r="AR19" i="119"/>
  <c r="AK25" i="119"/>
  <c r="AK13" i="119"/>
  <c r="P49" i="119"/>
  <c r="P29" i="119"/>
  <c r="P41" i="119"/>
  <c r="AD20" i="119"/>
  <c r="P28" i="119"/>
  <c r="AK36" i="119"/>
  <c r="AK42" i="119"/>
  <c r="AR31" i="119"/>
  <c r="AK43" i="119"/>
  <c r="P13" i="119"/>
  <c r="P32" i="119"/>
  <c r="W14" i="119"/>
  <c r="W36" i="119"/>
  <c r="AD48" i="119"/>
  <c r="W42" i="119"/>
  <c r="AR30" i="119"/>
  <c r="P43" i="119"/>
  <c r="AR44" i="119"/>
  <c r="P12" i="119"/>
  <c r="W32" i="119"/>
  <c r="P15" i="119"/>
  <c r="W48" i="119"/>
  <c r="P42" i="119"/>
  <c r="AK30" i="119"/>
  <c r="AD32" i="119"/>
  <c r="AD36" i="119"/>
  <c r="AD47" i="119"/>
  <c r="AD35" i="119"/>
  <c r="AK32" i="119"/>
  <c r="AR50" i="119"/>
  <c r="W30" i="119"/>
  <c r="AR48" i="119"/>
  <c r="AD30" i="119"/>
  <c r="W47" i="119"/>
  <c r="AD13" i="119"/>
  <c r="W35" i="119"/>
  <c r="P36" i="119"/>
  <c r="AK23" i="119"/>
  <c r="AR21" i="119"/>
  <c r="AR49" i="119"/>
  <c r="W46" i="119"/>
  <c r="AD38" i="119"/>
  <c r="P22" i="119"/>
  <c r="W38" i="119"/>
  <c r="AK49" i="119"/>
  <c r="P46" i="119"/>
  <c r="AR38" i="119"/>
  <c r="AR22" i="119"/>
  <c r="P27" i="119"/>
  <c r="AR27" i="119"/>
  <c r="AD49" i="119"/>
  <c r="AK45" i="119"/>
  <c r="AK38" i="119"/>
  <c r="AK22" i="119"/>
  <c r="AK27" i="119"/>
  <c r="AD45" i="119"/>
  <c r="P21" i="119"/>
  <c r="AD27" i="119"/>
  <c r="AR39" i="119"/>
  <c r="AK31" i="119"/>
  <c r="AD39" i="119"/>
  <c r="AD23" i="119"/>
  <c r="W45" i="119"/>
  <c r="W50" i="119"/>
  <c r="AK41" i="119"/>
  <c r="P31" i="119"/>
  <c r="AK39" i="119"/>
  <c r="W23" i="119"/>
  <c r="AD34" i="119"/>
  <c r="P50" i="119"/>
  <c r="AR41" i="119"/>
  <c r="AD41" i="119"/>
  <c r="W39" i="119"/>
  <c r="W34" i="119"/>
  <c r="AK28" i="119"/>
  <c r="AR16" i="119"/>
  <c r="W21" i="119"/>
  <c r="AD44" i="119"/>
  <c r="P45" i="119"/>
  <c r="AK34" i="119"/>
  <c r="W20" i="119"/>
  <c r="AD28" i="119"/>
  <c r="W16" i="119"/>
  <c r="AD22" i="119"/>
  <c r="AR20" i="119"/>
  <c r="AD50" i="119"/>
  <c r="P44" i="119"/>
  <c r="AR34" i="119"/>
  <c r="AK20" i="119"/>
  <c r="AR28" i="119"/>
  <c r="AK16" i="119"/>
  <c r="AD21" i="119"/>
  <c r="P16" i="119"/>
  <c r="AR15" i="119"/>
  <c r="P35" i="119"/>
  <c r="AK15" i="119"/>
  <c r="AR18" i="119"/>
  <c r="AK18" i="119"/>
  <c r="I51" i="119"/>
  <c r="AK35" i="119"/>
  <c r="AD18" i="119"/>
  <c r="AK29" i="119"/>
  <c r="W18" i="119"/>
  <c r="AK46" i="119"/>
  <c r="AD29" i="119"/>
  <c r="AD15" i="119"/>
  <c r="AR29" i="119"/>
  <c r="AR46" i="119"/>
  <c r="AS37" i="119" l="1"/>
  <c r="AY37" i="119" s="1"/>
  <c r="BE37" i="119" s="1"/>
  <c r="X37" i="119"/>
  <c r="AV37" i="119" s="1"/>
  <c r="BB37" i="119" s="1"/>
  <c r="AE37" i="119"/>
  <c r="AW37" i="119" s="1"/>
  <c r="BC37" i="119" s="1"/>
  <c r="AL37" i="119"/>
  <c r="AX37" i="119" s="1"/>
  <c r="BD37" i="119" s="1"/>
  <c r="Q37" i="119"/>
  <c r="AU37" i="119" s="1"/>
  <c r="BA37" i="119" s="1"/>
  <c r="W51" i="119"/>
  <c r="Q44" i="119"/>
  <c r="AU44" i="119" s="1"/>
  <c r="BA44" i="119" s="1"/>
  <c r="Q35" i="119"/>
  <c r="AU35" i="119" s="1"/>
  <c r="BA35" i="119" s="1"/>
  <c r="X27" i="119"/>
  <c r="AV27" i="119" s="1"/>
  <c r="BB27" i="119" s="1"/>
  <c r="Q16" i="119"/>
  <c r="AU16" i="119" s="1"/>
  <c r="BA16" i="119" s="1"/>
  <c r="X14" i="119"/>
  <c r="AV14" i="119" s="1"/>
  <c r="BB14" i="119" s="1"/>
  <c r="Q22" i="119"/>
  <c r="AU22" i="119" s="1"/>
  <c r="BA22" i="119" s="1"/>
  <c r="Q23" i="119"/>
  <c r="AU23" i="119" s="1"/>
  <c r="BA23" i="119" s="1"/>
  <c r="Q32" i="119"/>
  <c r="AU32" i="119" s="1"/>
  <c r="BA32" i="119" s="1"/>
  <c r="Q24" i="119"/>
  <c r="AU24" i="119" s="1"/>
  <c r="BA24" i="119" s="1"/>
  <c r="Q40" i="119"/>
  <c r="AU40" i="119" s="1"/>
  <c r="BA40" i="119" s="1"/>
  <c r="Q17" i="119"/>
  <c r="AU17" i="119" s="1"/>
  <c r="BA17" i="119" s="1"/>
  <c r="Q49" i="119"/>
  <c r="AU49" i="119" s="1"/>
  <c r="BA49" i="119" s="1"/>
  <c r="P51" i="119"/>
  <c r="Q38" i="119"/>
  <c r="AU38" i="119" s="1"/>
  <c r="BA38" i="119" s="1"/>
  <c r="Q30" i="119"/>
  <c r="AU30" i="119" s="1"/>
  <c r="BA30" i="119" s="1"/>
  <c r="Q12" i="119"/>
  <c r="AU12" i="119" s="1"/>
  <c r="X40" i="119"/>
  <c r="AV40" i="119" s="1"/>
  <c r="BB40" i="119" s="1"/>
  <c r="Q14" i="119"/>
  <c r="AU14" i="119" s="1"/>
  <c r="BA14" i="119" s="1"/>
  <c r="Q33" i="119"/>
  <c r="AU33" i="119" s="1"/>
  <c r="BA33" i="119" s="1"/>
  <c r="Q42" i="119"/>
  <c r="AU42" i="119" s="1"/>
  <c r="BA42" i="119" s="1"/>
  <c r="X38" i="119"/>
  <c r="AV38" i="119" s="1"/>
  <c r="BB38" i="119" s="1"/>
  <c r="X12" i="119"/>
  <c r="X34" i="119"/>
  <c r="AV34" i="119" s="1"/>
  <c r="BB34" i="119" s="1"/>
  <c r="Q36" i="119"/>
  <c r="AU36" i="119" s="1"/>
  <c r="BA36" i="119" s="1"/>
  <c r="Q48" i="119"/>
  <c r="AU48" i="119" s="1"/>
  <c r="BA48" i="119" s="1"/>
  <c r="Q47" i="119"/>
  <c r="AU47" i="119" s="1"/>
  <c r="BA47" i="119" s="1"/>
  <c r="X20" i="119"/>
  <c r="AV20" i="119" s="1"/>
  <c r="BB20" i="119" s="1"/>
  <c r="Q21" i="119"/>
  <c r="AU21" i="119" s="1"/>
  <c r="BA21" i="119" s="1"/>
  <c r="Q41" i="119"/>
  <c r="AU41" i="119" s="1"/>
  <c r="BA41" i="119" s="1"/>
  <c r="Q20" i="119"/>
  <c r="AU20" i="119" s="1"/>
  <c r="BA20" i="119" s="1"/>
  <c r="Q34" i="119"/>
  <c r="AU34" i="119" s="1"/>
  <c r="BA34" i="119" s="1"/>
  <c r="X46" i="119"/>
  <c r="AV46" i="119" s="1"/>
  <c r="BB46" i="119" s="1"/>
  <c r="Q45" i="119"/>
  <c r="AU45" i="119" s="1"/>
  <c r="BA45" i="119" s="1"/>
  <c r="AE33" i="119"/>
  <c r="AW33" i="119" s="1"/>
  <c r="BC33" i="119" s="1"/>
  <c r="X24" i="119"/>
  <c r="AV24" i="119" s="1"/>
  <c r="BB24" i="119" s="1"/>
  <c r="X22" i="119"/>
  <c r="AV22" i="119" s="1"/>
  <c r="BB22" i="119" s="1"/>
  <c r="X32" i="119"/>
  <c r="AV32" i="119" s="1"/>
  <c r="BB32" i="119" s="1"/>
  <c r="X36" i="119"/>
  <c r="AV36" i="119" s="1"/>
  <c r="BB36" i="119" s="1"/>
  <c r="X30" i="119"/>
  <c r="AV30" i="119" s="1"/>
  <c r="BB30" i="119" s="1"/>
  <c r="X33" i="119"/>
  <c r="AV33" i="119" s="1"/>
  <c r="BB33" i="119" s="1"/>
  <c r="X28" i="119"/>
  <c r="AV28" i="119" s="1"/>
  <c r="BB28" i="119" s="1"/>
  <c r="AL41" i="119"/>
  <c r="AX41" i="119" s="1"/>
  <c r="BD41" i="119" s="1"/>
  <c r="X45" i="119"/>
  <c r="AV45" i="119" s="1"/>
  <c r="BB45" i="119" s="1"/>
  <c r="X13" i="119"/>
  <c r="AV13" i="119" s="1"/>
  <c r="BB13" i="119" s="1"/>
  <c r="X49" i="119"/>
  <c r="AV49" i="119" s="1"/>
  <c r="BB49" i="119" s="1"/>
  <c r="X23" i="119"/>
  <c r="AV23" i="119" s="1"/>
  <c r="BB23" i="119" s="1"/>
  <c r="X18" i="119"/>
  <c r="AV18" i="119" s="1"/>
  <c r="BB18" i="119" s="1"/>
  <c r="X17" i="119"/>
  <c r="AV17" i="119" s="1"/>
  <c r="BB17" i="119" s="1"/>
  <c r="X29" i="119"/>
  <c r="AV29" i="119" s="1"/>
  <c r="BB29" i="119" s="1"/>
  <c r="X35" i="119"/>
  <c r="AV35" i="119" s="1"/>
  <c r="BB35" i="119" s="1"/>
  <c r="X19" i="119"/>
  <c r="AV19" i="119" s="1"/>
  <c r="BB19" i="119" s="1"/>
  <c r="X26" i="119"/>
  <c r="AV26" i="119" s="1"/>
  <c r="BB26" i="119" s="1"/>
  <c r="Q18" i="119"/>
  <c r="AU18" i="119" s="1"/>
  <c r="BA18" i="119" s="1"/>
  <c r="Q26" i="119"/>
  <c r="AU26" i="119" s="1"/>
  <c r="BA26" i="119" s="1"/>
  <c r="AE21" i="119"/>
  <c r="AW21" i="119" s="1"/>
  <c r="BC21" i="119" s="1"/>
  <c r="Q19" i="119"/>
  <c r="AU19" i="119" s="1"/>
  <c r="BA19" i="119" s="1"/>
  <c r="X42" i="119"/>
  <c r="AV42" i="119" s="1"/>
  <c r="BB42" i="119" s="1"/>
  <c r="X16" i="119"/>
  <c r="AV16" i="119" s="1"/>
  <c r="BB16" i="119" s="1"/>
  <c r="Q31" i="119"/>
  <c r="AU31" i="119" s="1"/>
  <c r="BA31" i="119" s="1"/>
  <c r="Q25" i="119"/>
  <c r="AU25" i="119" s="1"/>
  <c r="BA25" i="119" s="1"/>
  <c r="Q28" i="119"/>
  <c r="AU28" i="119" s="1"/>
  <c r="BA28" i="119" s="1"/>
  <c r="X31" i="119"/>
  <c r="AV31" i="119" s="1"/>
  <c r="BB31" i="119" s="1"/>
  <c r="X43" i="119"/>
  <c r="AV43" i="119" s="1"/>
  <c r="BB43" i="119" s="1"/>
  <c r="X41" i="119"/>
  <c r="AV41" i="119" s="1"/>
  <c r="BB41" i="119" s="1"/>
  <c r="X50" i="119"/>
  <c r="AV50" i="119" s="1"/>
  <c r="BB50" i="119" s="1"/>
  <c r="X48" i="119"/>
  <c r="AV48" i="119" s="1"/>
  <c r="BB48" i="119" s="1"/>
  <c r="Q39" i="119"/>
  <c r="AU39" i="119" s="1"/>
  <c r="BA39" i="119" s="1"/>
  <c r="Q15" i="119"/>
  <c r="AU15" i="119" s="1"/>
  <c r="BA15" i="119" s="1"/>
  <c r="Q13" i="119"/>
  <c r="AU13" i="119" s="1"/>
  <c r="BA13" i="119" s="1"/>
  <c r="X39" i="119"/>
  <c r="AV39" i="119" s="1"/>
  <c r="BB39" i="119" s="1"/>
  <c r="X25" i="119"/>
  <c r="AV25" i="119" s="1"/>
  <c r="BB25" i="119" s="1"/>
  <c r="X21" i="119"/>
  <c r="AV21" i="119" s="1"/>
  <c r="BB21" i="119" s="1"/>
  <c r="Q29" i="119"/>
  <c r="AU29" i="119" s="1"/>
  <c r="BA29" i="119" s="1"/>
  <c r="Q43" i="119"/>
  <c r="AU43" i="119" s="1"/>
  <c r="BA43" i="119" s="1"/>
  <c r="Q46" i="119"/>
  <c r="AU46" i="119" s="1"/>
  <c r="BA46" i="119" s="1"/>
  <c r="Q27" i="119"/>
  <c r="AU27" i="119" s="1"/>
  <c r="BA27" i="119" s="1"/>
  <c r="X47" i="119"/>
  <c r="AV47" i="119" s="1"/>
  <c r="BB47" i="119" s="1"/>
  <c r="AE47" i="119"/>
  <c r="AW47" i="119" s="1"/>
  <c r="BC47" i="119" s="1"/>
  <c r="X15" i="119"/>
  <c r="AV15" i="119" s="1"/>
  <c r="BB15" i="119" s="1"/>
  <c r="Q50" i="119"/>
  <c r="AU50" i="119" s="1"/>
  <c r="BA50" i="119" s="1"/>
  <c r="X44" i="119"/>
  <c r="AV44" i="119" s="1"/>
  <c r="BB44" i="119" s="1"/>
  <c r="AL22" i="119"/>
  <c r="AX22" i="119" s="1"/>
  <c r="BD22" i="119" s="1"/>
  <c r="AS26" i="119"/>
  <c r="AY26" i="119" s="1"/>
  <c r="BE26" i="119" s="1"/>
  <c r="AE34" i="119"/>
  <c r="AW34" i="119" s="1"/>
  <c r="BC34" i="119" s="1"/>
  <c r="AS29" i="119"/>
  <c r="AY29" i="119" s="1"/>
  <c r="BE29" i="119" s="1"/>
  <c r="AS13" i="119"/>
  <c r="AY13" i="119" s="1"/>
  <c r="BE13" i="119" s="1"/>
  <c r="AS47" i="119"/>
  <c r="AY47" i="119" s="1"/>
  <c r="BE47" i="119" s="1"/>
  <c r="AS27" i="119"/>
  <c r="AY27" i="119" s="1"/>
  <c r="BE27" i="119" s="1"/>
  <c r="AL25" i="119"/>
  <c r="AX25" i="119" s="1"/>
  <c r="BD25" i="119" s="1"/>
  <c r="AS22" i="119"/>
  <c r="AY22" i="119" s="1"/>
  <c r="BE22" i="119" s="1"/>
  <c r="AS20" i="119"/>
  <c r="AY20" i="119" s="1"/>
  <c r="BE20" i="119" s="1"/>
  <c r="AL43" i="119"/>
  <c r="AX43" i="119" s="1"/>
  <c r="BD43" i="119" s="1"/>
  <c r="AS14" i="119"/>
  <c r="AY14" i="119" s="1"/>
  <c r="BE14" i="119" s="1"/>
  <c r="AL38" i="119"/>
  <c r="AX38" i="119" s="1"/>
  <c r="BD38" i="119" s="1"/>
  <c r="AL35" i="119"/>
  <c r="AX35" i="119" s="1"/>
  <c r="BD35" i="119" s="1"/>
  <c r="AS38" i="119"/>
  <c r="AY38" i="119" s="1"/>
  <c r="BE38" i="119" s="1"/>
  <c r="AS49" i="119"/>
  <c r="AY49" i="119" s="1"/>
  <c r="BE49" i="119" s="1"/>
  <c r="AL50" i="119"/>
  <c r="AX50" i="119" s="1"/>
  <c r="BD50" i="119" s="1"/>
  <c r="AE48" i="119"/>
  <c r="AW48" i="119" s="1"/>
  <c r="BC48" i="119" s="1"/>
  <c r="AS21" i="119"/>
  <c r="AY21" i="119" s="1"/>
  <c r="BE21" i="119" s="1"/>
  <c r="AS23" i="119"/>
  <c r="AY23" i="119" s="1"/>
  <c r="BE23" i="119" s="1"/>
  <c r="AL36" i="119"/>
  <c r="AX36" i="119" s="1"/>
  <c r="BD36" i="119" s="1"/>
  <c r="AL21" i="119"/>
  <c r="AX21" i="119" s="1"/>
  <c r="BD21" i="119" s="1"/>
  <c r="AS15" i="119"/>
  <c r="AY15" i="119" s="1"/>
  <c r="BE15" i="119" s="1"/>
  <c r="AL12" i="119"/>
  <c r="AX12" i="119" s="1"/>
  <c r="AS12" i="119"/>
  <c r="AY12" i="119" s="1"/>
  <c r="AL45" i="119"/>
  <c r="AX45" i="119" s="1"/>
  <c r="BD45" i="119" s="1"/>
  <c r="AE12" i="119"/>
  <c r="AW12" i="119" s="1"/>
  <c r="AR51" i="119"/>
  <c r="AS30" i="119"/>
  <c r="AY30" i="119" s="1"/>
  <c r="BE30" i="119" s="1"/>
  <c r="AE14" i="119"/>
  <c r="AW14" i="119" s="1"/>
  <c r="BC14" i="119" s="1"/>
  <c r="AL19" i="119"/>
  <c r="AX19" i="119" s="1"/>
  <c r="BD19" i="119" s="1"/>
  <c r="AS31" i="119"/>
  <c r="AY31" i="119" s="1"/>
  <c r="BE31" i="119" s="1"/>
  <c r="AL28" i="119"/>
  <c r="AX28" i="119" s="1"/>
  <c r="BD28" i="119" s="1"/>
  <c r="AL18" i="119"/>
  <c r="AX18" i="119" s="1"/>
  <c r="BD18" i="119" s="1"/>
  <c r="AE41" i="119"/>
  <c r="AW41" i="119" s="1"/>
  <c r="BC41" i="119" s="1"/>
  <c r="AK51" i="119"/>
  <c r="AE36" i="119"/>
  <c r="AW36" i="119" s="1"/>
  <c r="BC36" i="119" s="1"/>
  <c r="AE16" i="119"/>
  <c r="AW16" i="119" s="1"/>
  <c r="BC16" i="119" s="1"/>
  <c r="AL34" i="119"/>
  <c r="AX34" i="119" s="1"/>
  <c r="BD34" i="119" s="1"/>
  <c r="AL14" i="119"/>
  <c r="AX14" i="119" s="1"/>
  <c r="BD14" i="119" s="1"/>
  <c r="AD51" i="119"/>
  <c r="AL47" i="119"/>
  <c r="AX47" i="119" s="1"/>
  <c r="BD47" i="119" s="1"/>
  <c r="AE15" i="119"/>
  <c r="AW15" i="119" s="1"/>
  <c r="BC15" i="119" s="1"/>
  <c r="AE43" i="119"/>
  <c r="AW43" i="119" s="1"/>
  <c r="BC43" i="119" s="1"/>
  <c r="AL30" i="119"/>
  <c r="AX30" i="119" s="1"/>
  <c r="BD30" i="119" s="1"/>
  <c r="AE29" i="119"/>
  <c r="AW29" i="119" s="1"/>
  <c r="BC29" i="119" s="1"/>
  <c r="AL49" i="119"/>
  <c r="AX49" i="119" s="1"/>
  <c r="BD49" i="119" s="1"/>
  <c r="AL16" i="119"/>
  <c r="AX16" i="119" s="1"/>
  <c r="BD16" i="119" s="1"/>
  <c r="AL29" i="119"/>
  <c r="AX29" i="119" s="1"/>
  <c r="BD29" i="119" s="1"/>
  <c r="AE45" i="119"/>
  <c r="AW45" i="119" s="1"/>
  <c r="BC45" i="119" s="1"/>
  <c r="AS17" i="119"/>
  <c r="AY17" i="119" s="1"/>
  <c r="BE17" i="119" s="1"/>
  <c r="AS41" i="119"/>
  <c r="AY41" i="119" s="1"/>
  <c r="BE41" i="119" s="1"/>
  <c r="AS32" i="119"/>
  <c r="AY32" i="119" s="1"/>
  <c r="BE32" i="119" s="1"/>
  <c r="AE22" i="119"/>
  <c r="AW22" i="119" s="1"/>
  <c r="BC22" i="119" s="1"/>
  <c r="AS24" i="119"/>
  <c r="AY24" i="119" s="1"/>
  <c r="BE24" i="119" s="1"/>
  <c r="AS39" i="119"/>
  <c r="AY39" i="119" s="1"/>
  <c r="BE39" i="119" s="1"/>
  <c r="AL26" i="119"/>
  <c r="AX26" i="119" s="1"/>
  <c r="BD26" i="119" s="1"/>
  <c r="AL31" i="119"/>
  <c r="AX31" i="119" s="1"/>
  <c r="BD31" i="119" s="1"/>
  <c r="AS16" i="119"/>
  <c r="AY16" i="119" s="1"/>
  <c r="BE16" i="119" s="1"/>
  <c r="AE31" i="119"/>
  <c r="AW31" i="119" s="1"/>
  <c r="BC31" i="119" s="1"/>
  <c r="AE46" i="119"/>
  <c r="AW46" i="119" s="1"/>
  <c r="BC46" i="119" s="1"/>
  <c r="AS34" i="119"/>
  <c r="AY34" i="119" s="1"/>
  <c r="BE34" i="119" s="1"/>
  <c r="AE27" i="119"/>
  <c r="AW27" i="119" s="1"/>
  <c r="BC27" i="119" s="1"/>
  <c r="AL44" i="119"/>
  <c r="AX44" i="119" s="1"/>
  <c r="BD44" i="119" s="1"/>
  <c r="AL42" i="119"/>
  <c r="AX42" i="119" s="1"/>
  <c r="BD42" i="119" s="1"/>
  <c r="AL23" i="119"/>
  <c r="AX23" i="119" s="1"/>
  <c r="BD23" i="119" s="1"/>
  <c r="AL24" i="119"/>
  <c r="AX24" i="119" s="1"/>
  <c r="BD24" i="119" s="1"/>
  <c r="AE30" i="119"/>
  <c r="AW30" i="119" s="1"/>
  <c r="BC30" i="119" s="1"/>
  <c r="AE40" i="119"/>
  <c r="AW40" i="119" s="1"/>
  <c r="BC40" i="119" s="1"/>
  <c r="AE25" i="119"/>
  <c r="AW25" i="119" s="1"/>
  <c r="BC25" i="119" s="1"/>
  <c r="AL46" i="119"/>
  <c r="AX46" i="119" s="1"/>
  <c r="BD46" i="119" s="1"/>
  <c r="AL20" i="119"/>
  <c r="AX20" i="119" s="1"/>
  <c r="BD20" i="119" s="1"/>
  <c r="AE44" i="119"/>
  <c r="AW44" i="119" s="1"/>
  <c r="BC44" i="119" s="1"/>
  <c r="AE32" i="119"/>
  <c r="AW32" i="119" s="1"/>
  <c r="BC32" i="119" s="1"/>
  <c r="AS28" i="119"/>
  <c r="AY28" i="119" s="1"/>
  <c r="BE28" i="119" s="1"/>
  <c r="AE18" i="119"/>
  <c r="AW18" i="119" s="1"/>
  <c r="BC18" i="119" s="1"/>
  <c r="AE49" i="119"/>
  <c r="AW49" i="119" s="1"/>
  <c r="BC49" i="119" s="1"/>
  <c r="AE38" i="119"/>
  <c r="AW38" i="119" s="1"/>
  <c r="BC38" i="119" s="1"/>
  <c r="AS35" i="119"/>
  <c r="AY35" i="119" s="1"/>
  <c r="BE35" i="119" s="1"/>
  <c r="AE35" i="119"/>
  <c r="AW35" i="119" s="1"/>
  <c r="BC35" i="119" s="1"/>
  <c r="AS45" i="119"/>
  <c r="AY45" i="119" s="1"/>
  <c r="BE45" i="119" s="1"/>
  <c r="AE13" i="119"/>
  <c r="AW13" i="119" s="1"/>
  <c r="BC13" i="119" s="1"/>
  <c r="AS43" i="119"/>
  <c r="AY43" i="119" s="1"/>
  <c r="BE43" i="119" s="1"/>
  <c r="AL27" i="119"/>
  <c r="AX27" i="119" s="1"/>
  <c r="BD27" i="119" s="1"/>
  <c r="AS44" i="119"/>
  <c r="AY44" i="119" s="1"/>
  <c r="BE44" i="119" s="1"/>
  <c r="AE28" i="119"/>
  <c r="AW28" i="119" s="1"/>
  <c r="BC28" i="119" s="1"/>
  <c r="AL48" i="119"/>
  <c r="AX48" i="119" s="1"/>
  <c r="BD48" i="119" s="1"/>
  <c r="AE39" i="119"/>
  <c r="AW39" i="119" s="1"/>
  <c r="BC39" i="119" s="1"/>
  <c r="AL13" i="119"/>
  <c r="AX13" i="119" s="1"/>
  <c r="BD13" i="119" s="1"/>
  <c r="AS40" i="119"/>
  <c r="AY40" i="119" s="1"/>
  <c r="BE40" i="119" s="1"/>
  <c r="AS48" i="119"/>
  <c r="AY48" i="119" s="1"/>
  <c r="BE48" i="119" s="1"/>
  <c r="AL32" i="119"/>
  <c r="AX32" i="119" s="1"/>
  <c r="BD32" i="119" s="1"/>
  <c r="AE17" i="119"/>
  <c r="AW17" i="119" s="1"/>
  <c r="BC17" i="119" s="1"/>
  <c r="AE20" i="119"/>
  <c r="AW20" i="119" s="1"/>
  <c r="BC20" i="119" s="1"/>
  <c r="AE19" i="119"/>
  <c r="AW19" i="119" s="1"/>
  <c r="BC19" i="119" s="1"/>
  <c r="AE42" i="119"/>
  <c r="AW42" i="119" s="1"/>
  <c r="BC42" i="119" s="1"/>
  <c r="AE23" i="119"/>
  <c r="AW23" i="119" s="1"/>
  <c r="BC23" i="119" s="1"/>
  <c r="AS19" i="119"/>
  <c r="AY19" i="119" s="1"/>
  <c r="BE19" i="119" s="1"/>
  <c r="AS36" i="119"/>
  <c r="AY36" i="119" s="1"/>
  <c r="BE36" i="119" s="1"/>
  <c r="AL40" i="119"/>
  <c r="AX40" i="119" s="1"/>
  <c r="BD40" i="119" s="1"/>
  <c r="AS50" i="119"/>
  <c r="AY50" i="119" s="1"/>
  <c r="BE50" i="119" s="1"/>
  <c r="AE26" i="119"/>
  <c r="AW26" i="119" s="1"/>
  <c r="BC26" i="119" s="1"/>
  <c r="AE50" i="119"/>
  <c r="AW50" i="119" s="1"/>
  <c r="BC50" i="119" s="1"/>
  <c r="AS46" i="119"/>
  <c r="AY46" i="119" s="1"/>
  <c r="BE46" i="119" s="1"/>
  <c r="AL33" i="119"/>
  <c r="AX33" i="119" s="1"/>
  <c r="BD33" i="119" s="1"/>
  <c r="AS25" i="119"/>
  <c r="AY25" i="119" s="1"/>
  <c r="BE25" i="119" s="1"/>
  <c r="AS33" i="119"/>
  <c r="AY33" i="119" s="1"/>
  <c r="BE33" i="119" s="1"/>
  <c r="AL17" i="119"/>
  <c r="AX17" i="119" s="1"/>
  <c r="BD17" i="119" s="1"/>
  <c r="AS42" i="119"/>
  <c r="AY42" i="119" s="1"/>
  <c r="BE42" i="119" s="1"/>
  <c r="AE24" i="119"/>
  <c r="AW24" i="119" s="1"/>
  <c r="BC24" i="119" s="1"/>
  <c r="AS18" i="119"/>
  <c r="AY18" i="119" s="1"/>
  <c r="BE18" i="119" s="1"/>
  <c r="AL39" i="119"/>
  <c r="AX39" i="119" s="1"/>
  <c r="BD39" i="119" s="1"/>
  <c r="AL15" i="119"/>
  <c r="AX15" i="119" s="1"/>
  <c r="BD15" i="119" s="1"/>
  <c r="BF37" i="119" l="1"/>
  <c r="AV12" i="119"/>
  <c r="AV51" i="119" s="1"/>
  <c r="BB51" i="119" s="1"/>
  <c r="X51" i="119"/>
  <c r="BF22" i="119"/>
  <c r="BJ22" i="119" s="1"/>
  <c r="BK22" i="119" s="1"/>
  <c r="BF30" i="119"/>
  <c r="BJ30" i="119" s="1"/>
  <c r="BK30" i="119" s="1"/>
  <c r="BF35" i="119"/>
  <c r="BI35" i="119" s="1"/>
  <c r="Q51" i="119"/>
  <c r="BF41" i="119"/>
  <c r="BI41" i="119" s="1"/>
  <c r="BF21" i="119"/>
  <c r="BJ21" i="119" s="1"/>
  <c r="BK21" i="119" s="1"/>
  <c r="BF43" i="119"/>
  <c r="BI43" i="119" s="1"/>
  <c r="BF47" i="119"/>
  <c r="BJ47" i="119" s="1"/>
  <c r="BK47" i="119" s="1"/>
  <c r="BF15" i="119"/>
  <c r="BJ15" i="119" s="1"/>
  <c r="BK15" i="119" s="1"/>
  <c r="BF24" i="119"/>
  <c r="BJ24" i="119" s="1"/>
  <c r="BK24" i="119" s="1"/>
  <c r="BF14" i="119"/>
  <c r="BJ14" i="119" s="1"/>
  <c r="BK14" i="119" s="1"/>
  <c r="BF50" i="119"/>
  <c r="BJ50" i="119" s="1"/>
  <c r="BK50" i="119" s="1"/>
  <c r="BF38" i="119"/>
  <c r="BI38" i="119" s="1"/>
  <c r="BF20" i="119"/>
  <c r="BJ20" i="119" s="1"/>
  <c r="BK20" i="119" s="1"/>
  <c r="BF16" i="119"/>
  <c r="BJ16" i="119" s="1"/>
  <c r="BK16" i="119" s="1"/>
  <c r="BF48" i="119"/>
  <c r="BI48" i="119" s="1"/>
  <c r="BF27" i="119"/>
  <c r="BJ27" i="119" s="1"/>
  <c r="BK27" i="119" s="1"/>
  <c r="BF33" i="119"/>
  <c r="BI33" i="119" s="1"/>
  <c r="BF44" i="119"/>
  <c r="BJ44" i="119" s="1"/>
  <c r="BK44" i="119" s="1"/>
  <c r="BF46" i="119"/>
  <c r="BI46" i="119" s="1"/>
  <c r="BF34" i="119"/>
  <c r="BJ34" i="119" s="1"/>
  <c r="BK34" i="119" s="1"/>
  <c r="BF25" i="119"/>
  <c r="BJ25" i="119" s="1"/>
  <c r="BK25" i="119" s="1"/>
  <c r="BF36" i="119"/>
  <c r="BF19" i="119"/>
  <c r="BJ19" i="119" s="1"/>
  <c r="BK19" i="119" s="1"/>
  <c r="BF17" i="119"/>
  <c r="BI17" i="119" s="1"/>
  <c r="BF23" i="119"/>
  <c r="BI23" i="119" s="1"/>
  <c r="BF42" i="119"/>
  <c r="BI42" i="119" s="1"/>
  <c r="BF26" i="119"/>
  <c r="BJ26" i="119" s="1"/>
  <c r="BK26" i="119" s="1"/>
  <c r="BF49" i="119"/>
  <c r="BI49" i="119" s="1"/>
  <c r="BF40" i="119"/>
  <c r="BI40" i="119" s="1"/>
  <c r="BF39" i="119"/>
  <c r="BJ39" i="119" s="1"/>
  <c r="BK39" i="119" s="1"/>
  <c r="BF18" i="119"/>
  <c r="BJ18" i="119" s="1"/>
  <c r="BK18" i="119" s="1"/>
  <c r="BF29" i="119"/>
  <c r="BJ29" i="119" s="1"/>
  <c r="BK29" i="119" s="1"/>
  <c r="BF13" i="119"/>
  <c r="BJ13" i="119" s="1"/>
  <c r="BK13" i="119" s="1"/>
  <c r="BF45" i="119"/>
  <c r="BJ45" i="119" s="1"/>
  <c r="BK45" i="119" s="1"/>
  <c r="BF28" i="119"/>
  <c r="BJ28" i="119" s="1"/>
  <c r="BK28" i="119" s="1"/>
  <c r="BF31" i="119"/>
  <c r="BI31" i="119" s="1"/>
  <c r="BF32" i="119"/>
  <c r="BI32" i="119" s="1"/>
  <c r="AE51" i="119"/>
  <c r="AL51" i="119"/>
  <c r="AS51" i="119"/>
  <c r="AU51" i="119"/>
  <c r="BA51" i="119" s="1"/>
  <c r="BA12" i="119"/>
  <c r="AX51" i="119"/>
  <c r="BD51" i="119" s="1"/>
  <c r="BD12" i="119"/>
  <c r="AY51" i="119"/>
  <c r="BE51" i="119" s="1"/>
  <c r="BE12" i="119"/>
  <c r="AW51" i="119"/>
  <c r="BC51" i="119" s="1"/>
  <c r="BC12" i="119"/>
  <c r="BI37" i="119" l="1"/>
  <c r="BJ37" i="119"/>
  <c r="BK37" i="119" s="1"/>
  <c r="BB12" i="119"/>
  <c r="BF12" i="119" s="1"/>
  <c r="BI36" i="119"/>
  <c r="BJ36" i="119"/>
  <c r="BK36" i="119" s="1"/>
  <c r="BJ35" i="119"/>
  <c r="BK35" i="119" s="1"/>
  <c r="BM35" i="119" s="1"/>
  <c r="BI27" i="119"/>
  <c r="BM27" i="119" s="1"/>
  <c r="BJ41" i="119"/>
  <c r="BK41" i="119" s="1"/>
  <c r="BM41" i="119" s="1"/>
  <c r="BI30" i="119"/>
  <c r="BM30" i="119" s="1"/>
  <c r="BI22" i="119"/>
  <c r="BM22" i="119" s="1"/>
  <c r="BJ43" i="119"/>
  <c r="BK43" i="119" s="1"/>
  <c r="BM43" i="119" s="1"/>
  <c r="BJ46" i="119"/>
  <c r="BK46" i="119" s="1"/>
  <c r="BM46" i="119" s="1"/>
  <c r="BI47" i="119"/>
  <c r="BM47" i="119" s="1"/>
  <c r="BI15" i="119"/>
  <c r="BM15" i="119" s="1"/>
  <c r="BJ48" i="119"/>
  <c r="BK48" i="119" s="1"/>
  <c r="BM48" i="119" s="1"/>
  <c r="BI24" i="119"/>
  <c r="BM24" i="119" s="1"/>
  <c r="BI16" i="119"/>
  <c r="BM16" i="119" s="1"/>
  <c r="BJ38" i="119"/>
  <c r="BK38" i="119" s="1"/>
  <c r="BM38" i="119" s="1"/>
  <c r="BI50" i="119"/>
  <c r="BM50" i="119" s="1"/>
  <c r="BI21" i="119"/>
  <c r="BM21" i="119" s="1"/>
  <c r="BJ23" i="119"/>
  <c r="BK23" i="119" s="1"/>
  <c r="BM23" i="119" s="1"/>
  <c r="BI14" i="119"/>
  <c r="BM14" i="119" s="1"/>
  <c r="BI25" i="119"/>
  <c r="BM25" i="119" s="1"/>
  <c r="BI44" i="119"/>
  <c r="BM44" i="119" s="1"/>
  <c r="BI20" i="119"/>
  <c r="BM20" i="119" s="1"/>
  <c r="BI19" i="119"/>
  <c r="BM19" i="119" s="1"/>
  <c r="BJ33" i="119"/>
  <c r="BK33" i="119" s="1"/>
  <c r="BM33" i="119" s="1"/>
  <c r="BJ42" i="119"/>
  <c r="BK42" i="119" s="1"/>
  <c r="BM42" i="119" s="1"/>
  <c r="BI34" i="119"/>
  <c r="BM34" i="119" s="1"/>
  <c r="BJ49" i="119"/>
  <c r="BK49" i="119" s="1"/>
  <c r="BM49" i="119" s="1"/>
  <c r="BJ17" i="119"/>
  <c r="BK17" i="119" s="1"/>
  <c r="BM17" i="119" s="1"/>
  <c r="BI13" i="119"/>
  <c r="BM13" i="119" s="1"/>
  <c r="BJ40" i="119"/>
  <c r="BK40" i="119" s="1"/>
  <c r="BM40" i="119" s="1"/>
  <c r="BI28" i="119"/>
  <c r="BM28" i="119" s="1"/>
  <c r="BI18" i="119"/>
  <c r="BM18" i="119" s="1"/>
  <c r="BI39" i="119"/>
  <c r="BM39" i="119" s="1"/>
  <c r="BI26" i="119"/>
  <c r="BM26" i="119" s="1"/>
  <c r="BJ32" i="119"/>
  <c r="BK32" i="119" s="1"/>
  <c r="BM32" i="119" s="1"/>
  <c r="BI29" i="119"/>
  <c r="BM29" i="119" s="1"/>
  <c r="BJ31" i="119"/>
  <c r="BK31" i="119" s="1"/>
  <c r="BM31" i="119" s="1"/>
  <c r="BI45" i="119"/>
  <c r="BM45" i="119" s="1"/>
  <c r="BF51" i="119"/>
  <c r="BM37" i="119" l="1"/>
  <c r="BM36" i="119"/>
  <c r="BJ12" i="119"/>
  <c r="BJ51" i="119" s="1"/>
  <c r="BI12" i="119"/>
  <c r="BK12" i="119" l="1"/>
  <c r="BM12" i="119" s="1"/>
  <c r="BM51" i="119" s="1"/>
  <c r="BK51" i="119" l="1"/>
  <c r="BM6" i="119" s="1"/>
  <c r="BN37" i="119" l="1"/>
  <c r="BO37" i="119" s="1"/>
  <c r="BP37" i="119" s="1"/>
  <c r="BQ37" i="119" l="1"/>
  <c r="BR37" i="119"/>
  <c r="BU37" i="119"/>
  <c r="BV37" i="119"/>
  <c r="BW37" i="119" s="1"/>
  <c r="BN12" i="119"/>
  <c r="BO12" i="119" s="1"/>
  <c r="BP12" i="119" s="1"/>
  <c r="BU12" i="119" s="1"/>
  <c r="BN13" i="119"/>
  <c r="BO13" i="119" s="1"/>
  <c r="BP13" i="119" s="1"/>
  <c r="BN19" i="119"/>
  <c r="BO19" i="119" s="1"/>
  <c r="BP19" i="119" s="1"/>
  <c r="BN45" i="119"/>
  <c r="BO45" i="119" s="1"/>
  <c r="BP45" i="119" s="1"/>
  <c r="BN14" i="119"/>
  <c r="BO14" i="119" s="1"/>
  <c r="BP14" i="119" s="1"/>
  <c r="BN36" i="119"/>
  <c r="BO36" i="119" s="1"/>
  <c r="BP36" i="119" s="1"/>
  <c r="BN47" i="119"/>
  <c r="BO47" i="119" s="1"/>
  <c r="BP47" i="119" s="1"/>
  <c r="BN33" i="119"/>
  <c r="BN42" i="119"/>
  <c r="BO42" i="119" s="1"/>
  <c r="BP42" i="119" s="1"/>
  <c r="BN24" i="119"/>
  <c r="BO24" i="119" s="1"/>
  <c r="BP24" i="119" s="1"/>
  <c r="BN38" i="119"/>
  <c r="BO38" i="119" s="1"/>
  <c r="BP38" i="119" s="1"/>
  <c r="BN32" i="119"/>
  <c r="BO32" i="119" s="1"/>
  <c r="BP32" i="119" s="1"/>
  <c r="BN27" i="119"/>
  <c r="BO27" i="119" s="1"/>
  <c r="BP27" i="119" s="1"/>
  <c r="BN23" i="119"/>
  <c r="BO23" i="119" s="1"/>
  <c r="BP23" i="119" s="1"/>
  <c r="BN26" i="119"/>
  <c r="BO26" i="119" s="1"/>
  <c r="BP26" i="119" s="1"/>
  <c r="BN43" i="119"/>
  <c r="BO43" i="119" s="1"/>
  <c r="BP43" i="119" s="1"/>
  <c r="BN16" i="119"/>
  <c r="BO16" i="119" s="1"/>
  <c r="BP16" i="119" s="1"/>
  <c r="BN30" i="119"/>
  <c r="BO30" i="119" s="1"/>
  <c r="BP30" i="119" s="1"/>
  <c r="BN18" i="119"/>
  <c r="BO18" i="119" s="1"/>
  <c r="BP18" i="119" s="1"/>
  <c r="BN35" i="119"/>
  <c r="BO35" i="119" s="1"/>
  <c r="BP35" i="119" s="1"/>
  <c r="BN29" i="119"/>
  <c r="BO29" i="119" s="1"/>
  <c r="BP29" i="119" s="1"/>
  <c r="BN22" i="119"/>
  <c r="BO22" i="119" s="1"/>
  <c r="BP22" i="119" s="1"/>
  <c r="BN20" i="119"/>
  <c r="BO20" i="119" s="1"/>
  <c r="BN40" i="119"/>
  <c r="BO40" i="119" s="1"/>
  <c r="BP40" i="119" s="1"/>
  <c r="BN31" i="119"/>
  <c r="BO31" i="119" s="1"/>
  <c r="BP31" i="119" s="1"/>
  <c r="BN25" i="119"/>
  <c r="BO25" i="119" s="1"/>
  <c r="BP25" i="119" s="1"/>
  <c r="BN44" i="119"/>
  <c r="BO44" i="119" s="1"/>
  <c r="BP44" i="119" s="1"/>
  <c r="BN41" i="119"/>
  <c r="BO41" i="119" s="1"/>
  <c r="BP41" i="119" s="1"/>
  <c r="BN48" i="119"/>
  <c r="BO48" i="119" s="1"/>
  <c r="BP48" i="119" s="1"/>
  <c r="BN34" i="119"/>
  <c r="BO34" i="119" s="1"/>
  <c r="BP34" i="119" s="1"/>
  <c r="BN17" i="119"/>
  <c r="BO17" i="119" s="1"/>
  <c r="BP17" i="119" s="1"/>
  <c r="BN21" i="119"/>
  <c r="BO21" i="119" s="1"/>
  <c r="BP21" i="119" s="1"/>
  <c r="BN28" i="119"/>
  <c r="BO28" i="119" s="1"/>
  <c r="BP28" i="119" s="1"/>
  <c r="BN15" i="119"/>
  <c r="BO15" i="119" s="1"/>
  <c r="BP15" i="119" s="1"/>
  <c r="BN39" i="119"/>
  <c r="BO39" i="119" s="1"/>
  <c r="BP39" i="119" s="1"/>
  <c r="BN49" i="119"/>
  <c r="BO49" i="119" s="1"/>
  <c r="BP49" i="119" s="1"/>
  <c r="BN50" i="119"/>
  <c r="BO50" i="119" s="1"/>
  <c r="BP50" i="119" s="1"/>
  <c r="BN46" i="119"/>
  <c r="BO46" i="119" s="1"/>
  <c r="BP46" i="119" s="1"/>
  <c r="BY37" i="119" l="1"/>
  <c r="BQ17" i="119"/>
  <c r="BU17" i="119"/>
  <c r="BQ34" i="119"/>
  <c r="BU34" i="119"/>
  <c r="BQ27" i="119"/>
  <c r="BU27" i="119"/>
  <c r="BQ44" i="119"/>
  <c r="BU44" i="119"/>
  <c r="BQ25" i="119"/>
  <c r="BU25" i="119"/>
  <c r="BQ40" i="119"/>
  <c r="BU40" i="119"/>
  <c r="BQ36" i="119"/>
  <c r="BU36" i="119"/>
  <c r="BQ19" i="119"/>
  <c r="BU19" i="119"/>
  <c r="BQ21" i="119"/>
  <c r="BU21" i="119"/>
  <c r="BQ26" i="119"/>
  <c r="BU26" i="119"/>
  <c r="BQ48" i="119"/>
  <c r="BU48" i="119"/>
  <c r="BQ32" i="119"/>
  <c r="BU32" i="119"/>
  <c r="BQ24" i="119"/>
  <c r="BU24" i="119"/>
  <c r="BQ42" i="119"/>
  <c r="BU42" i="119"/>
  <c r="BQ47" i="119"/>
  <c r="BU47" i="119"/>
  <c r="BQ22" i="119"/>
  <c r="BU22" i="119"/>
  <c r="BQ29" i="119"/>
  <c r="BU29" i="119"/>
  <c r="BQ49" i="119"/>
  <c r="BU49" i="119"/>
  <c r="BQ15" i="119"/>
  <c r="BU15" i="119"/>
  <c r="BQ13" i="119"/>
  <c r="BU13" i="119"/>
  <c r="BQ43" i="119"/>
  <c r="BU43" i="119"/>
  <c r="BQ23" i="119"/>
  <c r="BU23" i="119"/>
  <c r="BQ41" i="119"/>
  <c r="BU41" i="119"/>
  <c r="BQ38" i="119"/>
  <c r="BU38" i="119"/>
  <c r="BQ31" i="119"/>
  <c r="BU31" i="119"/>
  <c r="BQ46" i="119"/>
  <c r="BU46" i="119"/>
  <c r="BQ50" i="119"/>
  <c r="BU50" i="119"/>
  <c r="BQ14" i="119"/>
  <c r="BU14" i="119"/>
  <c r="BQ35" i="119"/>
  <c r="BU35" i="119"/>
  <c r="BQ45" i="119"/>
  <c r="BU45" i="119"/>
  <c r="BQ39" i="119"/>
  <c r="BU39" i="119"/>
  <c r="BQ18" i="119"/>
  <c r="BU18" i="119"/>
  <c r="BQ30" i="119"/>
  <c r="BU30" i="119"/>
  <c r="BQ28" i="119"/>
  <c r="BU28" i="119"/>
  <c r="BQ16" i="119"/>
  <c r="BU16" i="119"/>
  <c r="BV12" i="119"/>
  <c r="BQ12" i="119"/>
  <c r="BP20" i="119"/>
  <c r="BU20" i="119" s="1"/>
  <c r="BO33" i="119"/>
  <c r="BP33" i="119" s="1"/>
  <c r="BR43" i="119"/>
  <c r="BV43" i="119"/>
  <c r="BW43" i="119" s="1"/>
  <c r="BR46" i="119"/>
  <c r="BV46" i="119"/>
  <c r="BW46" i="119" s="1"/>
  <c r="BR17" i="119"/>
  <c r="BV17" i="119"/>
  <c r="BW17" i="119" s="1"/>
  <c r="BV26" i="119"/>
  <c r="BW26" i="119" s="1"/>
  <c r="BR26" i="119"/>
  <c r="BR47" i="119"/>
  <c r="BV47" i="119"/>
  <c r="BW47" i="119" s="1"/>
  <c r="BR50" i="119"/>
  <c r="BV50" i="119"/>
  <c r="BW50" i="119" s="1"/>
  <c r="BR34" i="119"/>
  <c r="BV34" i="119"/>
  <c r="BW34" i="119" s="1"/>
  <c r="BV22" i="119"/>
  <c r="BW22" i="119" s="1"/>
  <c r="BR22" i="119"/>
  <c r="BV23" i="119"/>
  <c r="BW23" i="119" s="1"/>
  <c r="BR23" i="119"/>
  <c r="BV36" i="119"/>
  <c r="BW36" i="119" s="1"/>
  <c r="BR36" i="119"/>
  <c r="BR21" i="119"/>
  <c r="BV21" i="119"/>
  <c r="BW21" i="119" s="1"/>
  <c r="BV48" i="119"/>
  <c r="BW48" i="119" s="1"/>
  <c r="BR48" i="119"/>
  <c r="BV27" i="119"/>
  <c r="BW27" i="119" s="1"/>
  <c r="BR27" i="119"/>
  <c r="BV41" i="119"/>
  <c r="BW41" i="119" s="1"/>
  <c r="BR41" i="119"/>
  <c r="BR39" i="119"/>
  <c r="BV39" i="119"/>
  <c r="BW39" i="119" s="1"/>
  <c r="BV44" i="119"/>
  <c r="BW44" i="119" s="1"/>
  <c r="BR44" i="119"/>
  <c r="BR18" i="119"/>
  <c r="BV18" i="119"/>
  <c r="BW18" i="119" s="1"/>
  <c r="BR38" i="119"/>
  <c r="BV38" i="119"/>
  <c r="BW38" i="119" s="1"/>
  <c r="BR19" i="119"/>
  <c r="BV19" i="119"/>
  <c r="BW19" i="119" s="1"/>
  <c r="BV40" i="119"/>
  <c r="BW40" i="119" s="1"/>
  <c r="BR40" i="119"/>
  <c r="BV49" i="119"/>
  <c r="BW49" i="119" s="1"/>
  <c r="BR49" i="119"/>
  <c r="BV14" i="119"/>
  <c r="BW14" i="119" s="1"/>
  <c r="BR14" i="119"/>
  <c r="BV32" i="119"/>
  <c r="BW32" i="119" s="1"/>
  <c r="BR32" i="119"/>
  <c r="BV15" i="119"/>
  <c r="BW15" i="119" s="1"/>
  <c r="BR15" i="119"/>
  <c r="BR25" i="119"/>
  <c r="BV25" i="119"/>
  <c r="BW25" i="119" s="1"/>
  <c r="BR30" i="119"/>
  <c r="BV30" i="119"/>
  <c r="BW30" i="119" s="1"/>
  <c r="BR24" i="119"/>
  <c r="BV24" i="119"/>
  <c r="BW24" i="119" s="1"/>
  <c r="BR13" i="119"/>
  <c r="BV13" i="119"/>
  <c r="BW13" i="119" s="1"/>
  <c r="BV29" i="119"/>
  <c r="BW29" i="119" s="1"/>
  <c r="BR29" i="119"/>
  <c r="BV35" i="119"/>
  <c r="BW35" i="119" s="1"/>
  <c r="BR35" i="119"/>
  <c r="BV45" i="119"/>
  <c r="BW45" i="119" s="1"/>
  <c r="BR45" i="119"/>
  <c r="BV28" i="119"/>
  <c r="BW28" i="119" s="1"/>
  <c r="BR28" i="119"/>
  <c r="BR31" i="119"/>
  <c r="BV31" i="119"/>
  <c r="BW31" i="119" s="1"/>
  <c r="BR16" i="119"/>
  <c r="BV16" i="119"/>
  <c r="BW16" i="119" s="1"/>
  <c r="BR42" i="119"/>
  <c r="BV42" i="119"/>
  <c r="BW42" i="119" s="1"/>
  <c r="BR12" i="119"/>
  <c r="BY43" i="119" l="1"/>
  <c r="BY25" i="119"/>
  <c r="BY19" i="119"/>
  <c r="BY42" i="119"/>
  <c r="BY24" i="119"/>
  <c r="BY16" i="119"/>
  <c r="BY46" i="119"/>
  <c r="BY17" i="119"/>
  <c r="BY31" i="119"/>
  <c r="BY34" i="119"/>
  <c r="BY50" i="119"/>
  <c r="BY36" i="119"/>
  <c r="BQ33" i="119"/>
  <c r="BU33" i="119"/>
  <c r="BY45" i="119"/>
  <c r="BY13" i="119"/>
  <c r="BY21" i="119"/>
  <c r="BY47" i="119"/>
  <c r="BY29" i="119"/>
  <c r="BY40" i="119"/>
  <c r="BY27" i="119"/>
  <c r="BY15" i="119"/>
  <c r="BY18" i="119"/>
  <c r="BY23" i="119"/>
  <c r="BY41" i="119"/>
  <c r="BY22" i="119"/>
  <c r="BY14" i="119"/>
  <c r="BY28" i="119"/>
  <c r="BY30" i="119"/>
  <c r="BY44" i="119"/>
  <c r="BY26" i="119"/>
  <c r="BY35" i="119"/>
  <c r="BY38" i="119"/>
  <c r="BY32" i="119"/>
  <c r="BY48" i="119"/>
  <c r="BY49" i="119"/>
  <c r="BY39" i="119"/>
  <c r="BV20" i="119"/>
  <c r="BW20" i="119" s="1"/>
  <c r="BY20" i="119" s="1"/>
  <c r="BR20" i="119"/>
  <c r="BQ20" i="119"/>
  <c r="BO51" i="119"/>
  <c r="BR33" i="119"/>
  <c r="BV33" i="119"/>
  <c r="BW33" i="119" s="1"/>
  <c r="BP51" i="119"/>
  <c r="BY33" i="119" l="1"/>
  <c r="BV51" i="119"/>
  <c r="BW51" i="119" s="1"/>
  <c r="BZ6" i="119" s="1"/>
  <c r="BR51" i="119"/>
  <c r="BW12" i="119"/>
  <c r="BY12" i="119" s="1"/>
  <c r="BY51" i="119" l="1"/>
  <c r="BZ37" i="119" s="1"/>
  <c r="CA37" i="119" s="1"/>
  <c r="CB37" i="119" s="1"/>
  <c r="CC37" i="119" l="1"/>
  <c r="CD37" i="119" s="1"/>
  <c r="CG37" i="119"/>
  <c r="CH37" i="119" s="1"/>
  <c r="BZ12" i="119"/>
  <c r="CA12" i="119" s="1"/>
  <c r="BZ43" i="119"/>
  <c r="CA43" i="119" s="1"/>
  <c r="BZ22" i="119"/>
  <c r="CA22" i="119" s="1"/>
  <c r="BZ34" i="119"/>
  <c r="CA34" i="119" s="1"/>
  <c r="BZ44" i="119"/>
  <c r="CA44" i="119" s="1"/>
  <c r="BZ49" i="119"/>
  <c r="CA49" i="119" s="1"/>
  <c r="BZ32" i="119"/>
  <c r="CA32" i="119" s="1"/>
  <c r="BZ23" i="119"/>
  <c r="CA23" i="119" s="1"/>
  <c r="BZ27" i="119"/>
  <c r="CA27" i="119" s="1"/>
  <c r="BZ35" i="119"/>
  <c r="CA35" i="119" s="1"/>
  <c r="BZ28" i="119"/>
  <c r="CA28" i="119" s="1"/>
  <c r="BZ41" i="119"/>
  <c r="CA41" i="119" s="1"/>
  <c r="BZ14" i="119"/>
  <c r="CA14" i="119" s="1"/>
  <c r="BZ51" i="119"/>
  <c r="CA51" i="119" s="1"/>
  <c r="BZ29" i="119"/>
  <c r="CA29" i="119" s="1"/>
  <c r="BZ50" i="119"/>
  <c r="CA50" i="119" s="1"/>
  <c r="BZ30" i="119"/>
  <c r="CA30" i="119" s="1"/>
  <c r="BZ38" i="119"/>
  <c r="CA38" i="119" s="1"/>
  <c r="BZ17" i="119"/>
  <c r="CA17" i="119" s="1"/>
  <c r="BZ19" i="119"/>
  <c r="CA19" i="119" s="1"/>
  <c r="BZ31" i="119"/>
  <c r="CA31" i="119" s="1"/>
  <c r="BZ47" i="119"/>
  <c r="CA47" i="119" s="1"/>
  <c r="BZ40" i="119"/>
  <c r="CA40" i="119" s="1"/>
  <c r="BZ21" i="119"/>
  <c r="CA21" i="119" s="1"/>
  <c r="BZ45" i="119"/>
  <c r="CA45" i="119" s="1"/>
  <c r="BZ48" i="119"/>
  <c r="CA48" i="119" s="1"/>
  <c r="BZ24" i="119"/>
  <c r="CA24" i="119" s="1"/>
  <c r="BZ33" i="119"/>
  <c r="CA33" i="119" s="1"/>
  <c r="BZ16" i="119"/>
  <c r="CA16" i="119" s="1"/>
  <c r="BZ36" i="119"/>
  <c r="CA36" i="119" s="1"/>
  <c r="BZ42" i="119"/>
  <c r="CA42" i="119" s="1"/>
  <c r="BZ18" i="119"/>
  <c r="CA18" i="119" s="1"/>
  <c r="BZ39" i="119"/>
  <c r="CA39" i="119" s="1"/>
  <c r="BZ46" i="119"/>
  <c r="CA46" i="119" s="1"/>
  <c r="BZ25" i="119"/>
  <c r="CA25" i="119" s="1"/>
  <c r="BZ13" i="119"/>
  <c r="CA13" i="119" s="1"/>
  <c r="BZ20" i="119"/>
  <c r="CA20" i="119" s="1"/>
  <c r="BZ15" i="119"/>
  <c r="CA15" i="119" s="1"/>
  <c r="BZ26" i="119"/>
  <c r="CA26" i="119" s="1"/>
  <c r="CI37" i="119" l="1"/>
  <c r="AM31" i="135"/>
  <c r="CB51" i="119"/>
  <c r="CC51" i="119" s="1"/>
  <c r="CB28" i="119"/>
  <c r="CC28" i="119" s="1"/>
  <c r="CB23" i="119"/>
  <c r="CC23" i="119" s="1"/>
  <c r="CB44" i="119"/>
  <c r="CC44" i="119" s="1"/>
  <c r="CB36" i="119"/>
  <c r="CC36" i="119" s="1"/>
  <c r="CB33" i="119"/>
  <c r="CC33" i="119" s="1"/>
  <c r="CB41" i="119"/>
  <c r="CC41" i="119" s="1"/>
  <c r="CB26" i="119"/>
  <c r="CC26" i="119" s="1"/>
  <c r="CB15" i="119"/>
  <c r="CC15" i="119" s="1"/>
  <c r="CB31" i="119"/>
  <c r="CC31" i="119" s="1"/>
  <c r="CB19" i="119"/>
  <c r="CC19" i="119" s="1"/>
  <c r="CB34" i="119"/>
  <c r="CC34" i="119" s="1"/>
  <c r="CB29" i="119"/>
  <c r="CC29" i="119" s="1"/>
  <c r="CB48" i="119"/>
  <c r="CC48" i="119" s="1"/>
  <c r="CB21" i="119"/>
  <c r="CC21" i="119" s="1"/>
  <c r="CB40" i="119"/>
  <c r="CC40" i="119" s="1"/>
  <c r="CB47" i="119"/>
  <c r="CC47" i="119" s="1"/>
  <c r="CB32" i="119"/>
  <c r="CC32" i="119" s="1"/>
  <c r="CB13" i="119"/>
  <c r="CC13" i="119" s="1"/>
  <c r="CB25" i="119"/>
  <c r="CC25" i="119" s="1"/>
  <c r="CB17" i="119"/>
  <c r="CC17" i="119" s="1"/>
  <c r="CB46" i="119"/>
  <c r="CC46" i="119" s="1"/>
  <c r="CB39" i="119"/>
  <c r="CC39" i="119" s="1"/>
  <c r="CB38" i="119"/>
  <c r="CC38" i="119" s="1"/>
  <c r="CB22" i="119"/>
  <c r="CC22" i="119" s="1"/>
  <c r="CB16" i="119"/>
  <c r="CC16" i="119" s="1"/>
  <c r="CB24" i="119"/>
  <c r="CC24" i="119" s="1"/>
  <c r="CB45" i="119"/>
  <c r="CC45" i="119" s="1"/>
  <c r="CB27" i="119"/>
  <c r="CC27" i="119" s="1"/>
  <c r="CB20" i="119"/>
  <c r="CC20" i="119" s="1"/>
  <c r="CB49" i="119"/>
  <c r="CC49" i="119" s="1"/>
  <c r="CB18" i="119"/>
  <c r="CC18" i="119" s="1"/>
  <c r="CB30" i="119"/>
  <c r="CC30" i="119" s="1"/>
  <c r="CB43" i="119"/>
  <c r="CC43" i="119" s="1"/>
  <c r="CB50" i="119"/>
  <c r="CC50" i="119" s="1"/>
  <c r="CB14" i="119"/>
  <c r="CC14" i="119" s="1"/>
  <c r="CB35" i="119"/>
  <c r="CC35" i="119" s="1"/>
  <c r="CB42" i="119"/>
  <c r="CC42" i="119" s="1"/>
  <c r="CB12" i="119"/>
  <c r="CC12" i="119" l="1"/>
  <c r="CD12" i="119" s="1"/>
  <c r="CG12" i="119"/>
  <c r="CG27" i="119"/>
  <c r="CH27" i="119" s="1"/>
  <c r="AQ20" i="134" s="1"/>
  <c r="CD27" i="119"/>
  <c r="CD45" i="119"/>
  <c r="CG24" i="119"/>
  <c r="CH24" i="119" s="1"/>
  <c r="AQ19" i="134" s="1"/>
  <c r="CD24" i="119"/>
  <c r="CD16" i="119"/>
  <c r="CG38" i="119"/>
  <c r="CH38" i="119" s="1"/>
  <c r="AQ16" i="134" s="1"/>
  <c r="CD38" i="119"/>
  <c r="CG42" i="119"/>
  <c r="CH42" i="119" s="1"/>
  <c r="AQ21" i="134" s="1"/>
  <c r="CD42" i="119"/>
  <c r="CG36" i="119"/>
  <c r="CH36" i="119" s="1"/>
  <c r="AQ20" i="129" s="1"/>
  <c r="CD36" i="119"/>
  <c r="CG28" i="119"/>
  <c r="CH28" i="119" s="1"/>
  <c r="AM18" i="135" s="1"/>
  <c r="CD28" i="119"/>
  <c r="CD41" i="119"/>
  <c r="CD44" i="119"/>
  <c r="CG31" i="119"/>
  <c r="CH31" i="119" s="1"/>
  <c r="AQ15" i="129" s="1"/>
  <c r="CD31" i="119"/>
  <c r="CD26" i="119"/>
  <c r="CG33" i="119"/>
  <c r="CH33" i="119" s="1"/>
  <c r="AQ18" i="129" s="1"/>
  <c r="CD33" i="119"/>
  <c r="CG43" i="119"/>
  <c r="CH43" i="119" s="1"/>
  <c r="AQ18" i="134" s="1"/>
  <c r="CD43" i="119"/>
  <c r="CG29" i="119"/>
  <c r="CH29" i="119" s="1"/>
  <c r="AQ19" i="129" s="1"/>
  <c r="CD29" i="119"/>
  <c r="CD34" i="119"/>
  <c r="CG19" i="119"/>
  <c r="CH19" i="119" s="1"/>
  <c r="AM28" i="135" s="1"/>
  <c r="CD19" i="119"/>
  <c r="CD22" i="119"/>
  <c r="CG15" i="119"/>
  <c r="CH15" i="119" s="1"/>
  <c r="AM22" i="135" s="1"/>
  <c r="CD15" i="119"/>
  <c r="CD39" i="119"/>
  <c r="CG46" i="119"/>
  <c r="CH46" i="119" s="1"/>
  <c r="AM15" i="135" s="1"/>
  <c r="CD46" i="119"/>
  <c r="CD35" i="119"/>
  <c r="CG17" i="119"/>
  <c r="CH17" i="119" s="1"/>
  <c r="AQ17" i="134" s="1"/>
  <c r="CD17" i="119"/>
  <c r="CG14" i="119"/>
  <c r="CH14" i="119" s="1"/>
  <c r="AM32" i="135" s="1"/>
  <c r="CD14" i="119"/>
  <c r="CG25" i="119"/>
  <c r="CH25" i="119" s="1"/>
  <c r="AM19" i="135" s="1"/>
  <c r="CD25" i="119"/>
  <c r="CD50" i="119"/>
  <c r="CG13" i="119"/>
  <c r="CH13" i="119" s="1"/>
  <c r="AQ15" i="134" s="1"/>
  <c r="CD13" i="119"/>
  <c r="CD32" i="119"/>
  <c r="CG23" i="119"/>
  <c r="CH23" i="119" s="1"/>
  <c r="AM13" i="135" s="1"/>
  <c r="CD23" i="119"/>
  <c r="CG30" i="119"/>
  <c r="CH30" i="119" s="1"/>
  <c r="AQ16" i="129" s="1"/>
  <c r="CD30" i="119"/>
  <c r="CG47" i="119"/>
  <c r="CH47" i="119" s="1"/>
  <c r="AM27" i="135" s="1"/>
  <c r="CD47" i="119"/>
  <c r="CG18" i="119"/>
  <c r="CH18" i="119" s="1"/>
  <c r="AQ14" i="134" s="1"/>
  <c r="CD18" i="119"/>
  <c r="CG40" i="119"/>
  <c r="CH40" i="119" s="1"/>
  <c r="AQ23" i="129" s="1"/>
  <c r="CD40" i="119"/>
  <c r="CD49" i="119"/>
  <c r="CD21" i="119"/>
  <c r="CG20" i="119"/>
  <c r="CH20" i="119" s="1"/>
  <c r="AM14" i="135" s="1"/>
  <c r="CD20" i="119"/>
  <c r="CG48" i="119"/>
  <c r="CH48" i="119" s="1"/>
  <c r="AM16" i="135" s="1"/>
  <c r="CD48" i="119"/>
  <c r="CG22" i="119"/>
  <c r="CH22" i="119" s="1"/>
  <c r="AM25" i="135" s="1"/>
  <c r="CG49" i="119"/>
  <c r="CH49" i="119" s="1"/>
  <c r="AM24" i="135" s="1"/>
  <c r="CG39" i="119"/>
  <c r="CH39" i="119" s="1"/>
  <c r="AM29" i="135" s="1"/>
  <c r="CG21" i="119"/>
  <c r="CH21" i="119" s="1"/>
  <c r="AQ21" i="129" s="1"/>
  <c r="CG26" i="119"/>
  <c r="CH26" i="119" s="1"/>
  <c r="AM17" i="135" s="1"/>
  <c r="CG50" i="119"/>
  <c r="CH50" i="119" s="1"/>
  <c r="AM26" i="135" s="1"/>
  <c r="CG44" i="119"/>
  <c r="CH44" i="119" s="1"/>
  <c r="AQ13" i="134" s="1"/>
  <c r="CG45" i="119"/>
  <c r="CH45" i="119" s="1"/>
  <c r="AM30" i="135" s="1"/>
  <c r="CG16" i="119"/>
  <c r="CH16" i="119" s="1"/>
  <c r="AM23" i="135" s="1"/>
  <c r="CG32" i="119"/>
  <c r="CH32" i="119" s="1"/>
  <c r="AQ17" i="129" s="1"/>
  <c r="CG35" i="119"/>
  <c r="CH35" i="119" s="1"/>
  <c r="AQ22" i="129" s="1"/>
  <c r="CG41" i="119"/>
  <c r="CH41" i="119" s="1"/>
  <c r="AM20" i="135" s="1"/>
  <c r="CG34" i="119"/>
  <c r="CH34" i="119" s="1"/>
  <c r="AQ24" i="129" s="1"/>
  <c r="AQ22" i="134" l="1"/>
  <c r="AQ25" i="129"/>
  <c r="CK42" i="119"/>
  <c r="CK38" i="119"/>
  <c r="CK20" i="119"/>
  <c r="CO20" i="119"/>
  <c r="CO46" i="119"/>
  <c r="CK46" i="119"/>
  <c r="CK40" i="119"/>
  <c r="CK21" i="119"/>
  <c r="CK31" i="119"/>
  <c r="CO31" i="119"/>
  <c r="CK50" i="119"/>
  <c r="CK24" i="119"/>
  <c r="CO15" i="119"/>
  <c r="CK15" i="119"/>
  <c r="CK19" i="119"/>
  <c r="CK14" i="119"/>
  <c r="CK43" i="119"/>
  <c r="CK33" i="119"/>
  <c r="CK26" i="119"/>
  <c r="CK39" i="119"/>
  <c r="CK49" i="119"/>
  <c r="CK34" i="119"/>
  <c r="CK41" i="119"/>
  <c r="CK28" i="119"/>
  <c r="CK27" i="119"/>
  <c r="CK23" i="119"/>
  <c r="CO23" i="119"/>
  <c r="CK44" i="119"/>
  <c r="CK13" i="119"/>
  <c r="CK25" i="119"/>
  <c r="CK22" i="119"/>
  <c r="CK35" i="119"/>
  <c r="CK48" i="119"/>
  <c r="CK30" i="119"/>
  <c r="CK17" i="119"/>
  <c r="CK29" i="119"/>
  <c r="CK16" i="119"/>
  <c r="CK45" i="119"/>
  <c r="CK18" i="119"/>
  <c r="CK47" i="119"/>
  <c r="CK32" i="119"/>
  <c r="CK36" i="119"/>
  <c r="CI23" i="119"/>
  <c r="CI15" i="119"/>
  <c r="CI17" i="119"/>
  <c r="CI24" i="119"/>
  <c r="CI50" i="119"/>
  <c r="CI13" i="119"/>
  <c r="CI19" i="119"/>
  <c r="CI36" i="119"/>
  <c r="CI22" i="119"/>
  <c r="CI44" i="119"/>
  <c r="CI26" i="119"/>
  <c r="CI20" i="119"/>
  <c r="CI47" i="119"/>
  <c r="CI14" i="119"/>
  <c r="CI45" i="119"/>
  <c r="CI28" i="119"/>
  <c r="CI18" i="119"/>
  <c r="CI21" i="119"/>
  <c r="CI46" i="119"/>
  <c r="CI31" i="119"/>
  <c r="CI42" i="119"/>
  <c r="CI27" i="119"/>
  <c r="CI16" i="119"/>
  <c r="CI33" i="119"/>
  <c r="CI41" i="119"/>
  <c r="CI35" i="119"/>
  <c r="CI39" i="119"/>
  <c r="CI30" i="119"/>
  <c r="CI25" i="119"/>
  <c r="CI29" i="119"/>
  <c r="CI40" i="119"/>
  <c r="CI43" i="119"/>
  <c r="CI48" i="119"/>
  <c r="CI34" i="119"/>
  <c r="CI32" i="119"/>
  <c r="CI49" i="119"/>
  <c r="CI38" i="119"/>
  <c r="CD51" i="119"/>
  <c r="CH12" i="119"/>
  <c r="AM21" i="135" s="1"/>
  <c r="CG51" i="119"/>
  <c r="AM33" i="135" l="1"/>
  <c r="CO51" i="119"/>
  <c r="CK12" i="119"/>
  <c r="CH51" i="119"/>
  <c r="CK51" i="119" s="1"/>
  <c r="CL37" i="119" s="1"/>
  <c r="CN37" i="119" s="1"/>
  <c r="CI12" i="119"/>
  <c r="CI51" i="119" s="1"/>
  <c r="CL47" i="119" l="1"/>
  <c r="CN47" i="119" s="1"/>
  <c r="CL25" i="119"/>
  <c r="CN25" i="119" s="1"/>
  <c r="CL15" i="119"/>
  <c r="CN15" i="119" s="1"/>
  <c r="CL31" i="119"/>
  <c r="CN31" i="119" s="1"/>
  <c r="CL12" i="119"/>
  <c r="CN12" i="119" s="1"/>
  <c r="CL22" i="119"/>
  <c r="CN22" i="119" s="1"/>
  <c r="CL49" i="119"/>
  <c r="CN49" i="119" s="1"/>
  <c r="CL33" i="119"/>
  <c r="CN33" i="119" s="1"/>
  <c r="CL46" i="119"/>
  <c r="CN46" i="119" s="1"/>
  <c r="CL43" i="119"/>
  <c r="CN43" i="119" s="1"/>
  <c r="CL32" i="119"/>
  <c r="CN32" i="119" s="1"/>
  <c r="CL45" i="119"/>
  <c r="CN45" i="119" s="1"/>
  <c r="CL26" i="119"/>
  <c r="CN26" i="119" s="1"/>
  <c r="CL34" i="119"/>
  <c r="CN34" i="119" s="1"/>
  <c r="CL27" i="119"/>
  <c r="CN27" i="119" s="1"/>
  <c r="CL36" i="119"/>
  <c r="CN36" i="119" s="1"/>
  <c r="CL44" i="119"/>
  <c r="CN44" i="119" s="1"/>
  <c r="CL35" i="119"/>
  <c r="CN35" i="119" s="1"/>
  <c r="CL28" i="119"/>
  <c r="CN28" i="119" s="1"/>
  <c r="CL38" i="119"/>
  <c r="CN38" i="119" s="1"/>
  <c r="CL41" i="119"/>
  <c r="CN41" i="119" s="1"/>
  <c r="CL14" i="119"/>
  <c r="CN14" i="119" s="1"/>
  <c r="CL17" i="119"/>
  <c r="CN17" i="119" s="1"/>
  <c r="CL48" i="119"/>
  <c r="CN48" i="119" s="1"/>
  <c r="CL30" i="119"/>
  <c r="CN30" i="119" s="1"/>
  <c r="CL39" i="119"/>
  <c r="CN39" i="119" s="1"/>
  <c r="CL42" i="119"/>
  <c r="CN42" i="119" s="1"/>
  <c r="CL24" i="119"/>
  <c r="CN24" i="119" s="1"/>
  <c r="CL20" i="119"/>
  <c r="CN20" i="119" s="1"/>
  <c r="CL40" i="119"/>
  <c r="CN40" i="119" s="1"/>
  <c r="CL16" i="119"/>
  <c r="CN16" i="119" s="1"/>
  <c r="CL23" i="119"/>
  <c r="CN23" i="119" s="1"/>
  <c r="CL29" i="119"/>
  <c r="CN29" i="119" s="1"/>
  <c r="CL50" i="119"/>
  <c r="CN50" i="119" s="1"/>
  <c r="CL13" i="119"/>
  <c r="CN13" i="119" s="1"/>
  <c r="CL21" i="119"/>
  <c r="CN21" i="119" s="1"/>
  <c r="CL18" i="119"/>
  <c r="CN18" i="119" s="1"/>
  <c r="CL19" i="119"/>
  <c r="CN19" i="119" s="1"/>
  <c r="J13" i="135" l="1"/>
  <c r="N13" i="135"/>
  <c r="AK13" i="135" s="1"/>
  <c r="J14" i="135"/>
  <c r="L14" i="135" s="1"/>
  <c r="N14" i="135"/>
  <c r="J15" i="135"/>
  <c r="L15" i="135" s="1"/>
  <c r="N15" i="135"/>
  <c r="J16" i="135"/>
  <c r="L16" i="135" s="1"/>
  <c r="N16" i="135"/>
  <c r="J17" i="135"/>
  <c r="L17" i="135" s="1"/>
  <c r="N17" i="135"/>
  <c r="J18" i="135"/>
  <c r="L18" i="135" s="1"/>
  <c r="N18" i="135"/>
  <c r="J19" i="135"/>
  <c r="L19" i="135" s="1"/>
  <c r="N19" i="135"/>
  <c r="AK19" i="135" s="1"/>
  <c r="J20" i="135"/>
  <c r="L20" i="135" s="1"/>
  <c r="N20" i="135"/>
  <c r="J21" i="135"/>
  <c r="L21" i="135" s="1"/>
  <c r="N21" i="135"/>
  <c r="J22" i="135"/>
  <c r="L22" i="135" s="1"/>
  <c r="N22" i="135"/>
  <c r="J23" i="135"/>
  <c r="L23" i="135" s="1"/>
  <c r="N23" i="135"/>
  <c r="J24" i="135"/>
  <c r="L24" i="135" s="1"/>
  <c r="N24" i="135"/>
  <c r="J25" i="135"/>
  <c r="L25" i="135" s="1"/>
  <c r="N25" i="135"/>
  <c r="J26" i="135"/>
  <c r="L26" i="135" s="1"/>
  <c r="N26" i="135"/>
  <c r="J27" i="135"/>
  <c r="L27" i="135" s="1"/>
  <c r="N27" i="135"/>
  <c r="J28" i="135"/>
  <c r="L28" i="135" s="1"/>
  <c r="N28" i="135"/>
  <c r="J29" i="135"/>
  <c r="L29" i="135" s="1"/>
  <c r="N29" i="135"/>
  <c r="J30" i="135"/>
  <c r="L30" i="135" s="1"/>
  <c r="N30" i="135"/>
  <c r="J31" i="135"/>
  <c r="L31" i="135" s="1"/>
  <c r="N31" i="135"/>
  <c r="J32" i="135"/>
  <c r="L32" i="135" s="1"/>
  <c r="N32" i="135"/>
  <c r="J13" i="134"/>
  <c r="N13" i="134"/>
  <c r="P13" i="134" s="1"/>
  <c r="J14" i="134"/>
  <c r="L14" i="134" s="1"/>
  <c r="N14" i="134"/>
  <c r="P14" i="134" s="1"/>
  <c r="J15" i="134"/>
  <c r="L15" i="134" s="1"/>
  <c r="N15" i="134"/>
  <c r="P15" i="134" s="1"/>
  <c r="J16" i="134"/>
  <c r="L16" i="134" s="1"/>
  <c r="N16" i="134"/>
  <c r="P16" i="134" s="1"/>
  <c r="J17" i="134"/>
  <c r="L17" i="134" s="1"/>
  <c r="N17" i="134"/>
  <c r="P17" i="134" s="1"/>
  <c r="J18" i="134"/>
  <c r="L18" i="134" s="1"/>
  <c r="N18" i="134"/>
  <c r="P18" i="134" s="1"/>
  <c r="J19" i="134"/>
  <c r="L19" i="134" s="1"/>
  <c r="N19" i="134"/>
  <c r="P19" i="134" s="1"/>
  <c r="J20" i="134"/>
  <c r="L20" i="134" s="1"/>
  <c r="N20" i="134"/>
  <c r="P20" i="134" s="1"/>
  <c r="J21" i="134"/>
  <c r="L21" i="134" s="1"/>
  <c r="N21" i="134"/>
  <c r="P21" i="134" s="1"/>
  <c r="J39" i="134"/>
  <c r="J56" i="134"/>
  <c r="P32" i="135" l="1"/>
  <c r="AK32" i="135"/>
  <c r="P22" i="135"/>
  <c r="AK22" i="135"/>
  <c r="P31" i="135"/>
  <c r="AK31" i="135"/>
  <c r="P20" i="135"/>
  <c r="AK20" i="135"/>
  <c r="P26" i="135"/>
  <c r="AK26" i="135"/>
  <c r="P23" i="135"/>
  <c r="AK23" i="135"/>
  <c r="P21" i="135"/>
  <c r="AK21" i="135"/>
  <c r="P19" i="135"/>
  <c r="P29" i="135"/>
  <c r="AK29" i="135"/>
  <c r="P18" i="135"/>
  <c r="AK18" i="135"/>
  <c r="P17" i="135"/>
  <c r="AK17" i="135"/>
  <c r="P27" i="135"/>
  <c r="AK27" i="135"/>
  <c r="P25" i="135"/>
  <c r="AK25" i="135"/>
  <c r="P14" i="135"/>
  <c r="AK14" i="135"/>
  <c r="P24" i="135"/>
  <c r="AK24" i="135"/>
  <c r="P13" i="135"/>
  <c r="P30" i="135"/>
  <c r="AK30" i="135"/>
  <c r="P28" i="135"/>
  <c r="AK28" i="135"/>
  <c r="P16" i="135"/>
  <c r="AK16" i="135"/>
  <c r="P15" i="135"/>
  <c r="AK15" i="135"/>
  <c r="J22" i="134"/>
  <c r="P22" i="134"/>
  <c r="J33" i="135"/>
  <c r="L13" i="135"/>
  <c r="L33" i="135" s="1"/>
  <c r="N33" i="135"/>
  <c r="L13" i="134"/>
  <c r="L22" i="134" s="1"/>
  <c r="N22" i="134"/>
  <c r="P33" i="135" l="1"/>
  <c r="E5" i="132" s="1"/>
  <c r="F5" i="132" s="1"/>
  <c r="C10" i="132" s="1"/>
  <c r="AK33" i="135"/>
  <c r="AN12" i="129" l="1"/>
  <c r="AO15" i="129" s="1"/>
  <c r="E10" i="132"/>
  <c r="D10" i="132"/>
  <c r="AN10" i="134" s="1"/>
  <c r="AO13" i="134" s="1"/>
  <c r="AO15" i="134"/>
  <c r="AP15" i="134" s="1"/>
  <c r="AO19" i="134"/>
  <c r="AP19" i="134" s="1"/>
  <c r="AO17" i="134"/>
  <c r="AP17" i="134" s="1"/>
  <c r="AO21" i="134"/>
  <c r="AP21" i="134" s="1"/>
  <c r="AO20" i="134"/>
  <c r="AP20" i="134" s="1"/>
  <c r="AO14" i="134"/>
  <c r="AP14" i="134" s="1"/>
  <c r="AO18" i="134"/>
  <c r="AP18" i="134" s="1"/>
  <c r="AO19" i="129"/>
  <c r="AP19" i="129" s="1"/>
  <c r="AO24" i="129"/>
  <c r="AP24" i="129" s="1"/>
  <c r="AO17" i="129"/>
  <c r="AP17" i="129" s="1"/>
  <c r="AO21" i="129"/>
  <c r="AP21" i="129" s="1"/>
  <c r="AO18" i="129"/>
  <c r="AP18" i="129" s="1"/>
  <c r="AO23" i="129"/>
  <c r="AP23" i="129" s="1"/>
  <c r="AO16" i="129"/>
  <c r="AP16" i="129" s="1"/>
  <c r="AO20" i="129" l="1"/>
  <c r="AP20" i="129" s="1"/>
  <c r="AO22" i="129"/>
  <c r="AP22" i="129" s="1"/>
  <c r="AR22" i="129" s="1"/>
  <c r="AS22" i="129" s="1"/>
  <c r="AI10" i="135"/>
  <c r="AO16" i="134"/>
  <c r="AP16" i="134" s="1"/>
  <c r="AR15" i="134"/>
  <c r="AS15" i="134" s="1"/>
  <c r="AT15" i="134"/>
  <c r="AP15" i="129"/>
  <c r="AO25" i="129"/>
  <c r="AT17" i="134"/>
  <c r="AR17" i="134"/>
  <c r="AS17" i="134" s="1"/>
  <c r="AR17" i="129"/>
  <c r="AS17" i="129" s="1"/>
  <c r="AT17" i="129"/>
  <c r="AR16" i="134"/>
  <c r="AS16" i="134" s="1"/>
  <c r="AT16" i="134"/>
  <c r="AR21" i="129"/>
  <c r="AS21" i="129" s="1"/>
  <c r="AT21" i="129"/>
  <c r="AR24" i="129"/>
  <c r="AS24" i="129" s="1"/>
  <c r="AT24" i="129"/>
  <c r="AR19" i="134"/>
  <c r="AS19" i="134" s="1"/>
  <c r="AT19" i="134"/>
  <c r="AR19" i="129"/>
  <c r="AS19" i="129" s="1"/>
  <c r="AT19" i="129"/>
  <c r="AO22" i="134"/>
  <c r="AP13" i="134"/>
  <c r="AR16" i="129"/>
  <c r="AS16" i="129" s="1"/>
  <c r="AT16" i="129"/>
  <c r="AT18" i="134"/>
  <c r="AR18" i="134"/>
  <c r="AS18" i="134" s="1"/>
  <c r="AT23" i="129"/>
  <c r="AR23" i="129"/>
  <c r="AS23" i="129" s="1"/>
  <c r="AR14" i="134"/>
  <c r="AS14" i="134" s="1"/>
  <c r="AT14" i="134"/>
  <c r="AT18" i="129"/>
  <c r="AR18" i="129"/>
  <c r="AS18" i="129" s="1"/>
  <c r="AR20" i="134"/>
  <c r="AS20" i="134" s="1"/>
  <c r="AT20" i="134"/>
  <c r="AR20" i="129"/>
  <c r="AS20" i="129" s="1"/>
  <c r="AT20" i="129"/>
  <c r="AT21" i="134"/>
  <c r="AR21" i="134"/>
  <c r="AS21" i="134" s="1"/>
  <c r="AT22" i="129" l="1"/>
  <c r="AJ15" i="135"/>
  <c r="AL15" i="135" s="1"/>
  <c r="AJ19" i="135"/>
  <c r="AL19" i="135" s="1"/>
  <c r="AJ23" i="135"/>
  <c r="AL23" i="135" s="1"/>
  <c r="AJ27" i="135"/>
  <c r="AL27" i="135" s="1"/>
  <c r="AJ33" i="135"/>
  <c r="AJ31" i="135"/>
  <c r="AL31" i="135" s="1"/>
  <c r="AN31" i="135" s="1"/>
  <c r="AO31" i="135" s="1"/>
  <c r="AJ17" i="135"/>
  <c r="AL17" i="135" s="1"/>
  <c r="AJ14" i="135"/>
  <c r="AL14" i="135" s="1"/>
  <c r="AJ21" i="135"/>
  <c r="AL21" i="135" s="1"/>
  <c r="AJ18" i="135"/>
  <c r="AL18" i="135" s="1"/>
  <c r="AJ29" i="135"/>
  <c r="AL29" i="135" s="1"/>
  <c r="AJ30" i="135"/>
  <c r="AL30" i="135" s="1"/>
  <c r="AJ26" i="135"/>
  <c r="AL26" i="135" s="1"/>
  <c r="AJ22" i="135"/>
  <c r="AL22" i="135" s="1"/>
  <c r="AJ25" i="135"/>
  <c r="AL25" i="135" s="1"/>
  <c r="AJ32" i="135"/>
  <c r="AL32" i="135" s="1"/>
  <c r="AJ28" i="135"/>
  <c r="AL28" i="135" s="1"/>
  <c r="AJ16" i="135"/>
  <c r="AL16" i="135" s="1"/>
  <c r="AJ20" i="135"/>
  <c r="AL20" i="135" s="1"/>
  <c r="AJ24" i="135"/>
  <c r="AL24" i="135" s="1"/>
  <c r="AJ13" i="135"/>
  <c r="AL13" i="135" s="1"/>
  <c r="AR15" i="129"/>
  <c r="AS15" i="129" s="1"/>
  <c r="AP25" i="129"/>
  <c r="AT15" i="129"/>
  <c r="AT13" i="134"/>
  <c r="AP22" i="134"/>
  <c r="AR13" i="134"/>
  <c r="AS13" i="134" s="1"/>
  <c r="AN22" i="135" l="1"/>
  <c r="AO22" i="135" s="1"/>
  <c r="AP22" i="135"/>
  <c r="AN26" i="135"/>
  <c r="AO26" i="135" s="1"/>
  <c r="AP26" i="135"/>
  <c r="AN29" i="135"/>
  <c r="AO29" i="135" s="1"/>
  <c r="AP29" i="135"/>
  <c r="AP18" i="135"/>
  <c r="AN18" i="135"/>
  <c r="AO18" i="135" s="1"/>
  <c r="AN17" i="135"/>
  <c r="AO17" i="135" s="1"/>
  <c r="AP17" i="135"/>
  <c r="AN25" i="135"/>
  <c r="AO25" i="135" s="1"/>
  <c r="AP25" i="135"/>
  <c r="AP30" i="135"/>
  <c r="AN30" i="135"/>
  <c r="AO30" i="135" s="1"/>
  <c r="AP14" i="135"/>
  <c r="AN14" i="135"/>
  <c r="AO14" i="135" s="1"/>
  <c r="AP32" i="135"/>
  <c r="AN32" i="135"/>
  <c r="AO32" i="135" s="1"/>
  <c r="AN21" i="135"/>
  <c r="AO21" i="135" s="1"/>
  <c r="AP21" i="135"/>
  <c r="AL33" i="135"/>
  <c r="AP26" i="129" s="1"/>
  <c r="AP13" i="135"/>
  <c r="AN13" i="135"/>
  <c r="AO13" i="135" s="1"/>
  <c r="AP24" i="135"/>
  <c r="AN24" i="135"/>
  <c r="AO24" i="135" s="1"/>
  <c r="AP27" i="135"/>
  <c r="AN27" i="135"/>
  <c r="AO27" i="135" s="1"/>
  <c r="AN20" i="135"/>
  <c r="AO20" i="135" s="1"/>
  <c r="AP20" i="135"/>
  <c r="AP23" i="135"/>
  <c r="AN23" i="135"/>
  <c r="AO23" i="135" s="1"/>
  <c r="AN16" i="135"/>
  <c r="AO16" i="135" s="1"/>
  <c r="AP16" i="135"/>
  <c r="AP19" i="135"/>
  <c r="AN19" i="135"/>
  <c r="AO19" i="135" s="1"/>
  <c r="AN28" i="135"/>
  <c r="AO28" i="135" s="1"/>
  <c r="AP28" i="135"/>
  <c r="AP15" i="135"/>
  <c r="AN15" i="135"/>
  <c r="AO15" i="13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tc={8C64585B-2E70-4F91-BE32-966B1822472C}</author>
    <author>tc={A277141A-ADF9-45D5-BD75-EB5B2062E9F5}</author>
    <author>tc={6CF1EA1E-3733-4B11-9B16-AA9D1C5B49E0}</author>
    <author>tc={C1D75439-8966-49E2-9353-8E3BC3E25989}</author>
    <author>tc={1382D314-2C60-4B4F-85A4-FC9D3AC77C83}</author>
    <author>tc={CECEC50C-D98C-41D0-9DFC-D8AA504DB917}</author>
    <author>tc={B6BBADEE-A052-46F2-8C29-376708320714}</author>
    <author>tc={9EC8208F-C73C-42C0-8F79-45ED2DF969BC}</author>
    <author>tc={8F652480-9BCA-4DD5-BA73-2A56E37C5FA3}</author>
  </authors>
  <commentList>
    <comment ref="C7" authorId="0" shapeId="0" xr:uid="{8C64585B-2E70-4F91-BE32-966B1822472C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D7" authorId="1" shapeId="0" xr:uid="{A277141A-ADF9-45D5-BD75-EB5B2062E9F5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E7" authorId="2" shapeId="0" xr:uid="{6CF1EA1E-3733-4B11-9B16-AA9D1C5B49E0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E19" authorId="3" shapeId="0" xr:uid="{C1D75439-8966-49E2-9353-8E3BC3E25989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3/6/26 based on updates provided in performance data reporting.</t>
      </text>
    </comment>
    <comment ref="D24" authorId="4" shapeId="0" xr:uid="{1382D314-2C60-4B4F-85A4-FC9D3AC77C83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this figure.
Reply:
    To reflect PRTC requested changes to FY23 reporting.</t>
      </text>
    </comment>
    <comment ref="C37" authorId="5" shapeId="0" xr:uid="{CECEC50C-D98C-41D0-9DFC-D8AA504DB917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D37" authorId="6" shapeId="0" xr:uid="{B6BBADEE-A052-46F2-8C29-376708320714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E37" authorId="7" shapeId="0" xr:uid="{9EC8208F-C73C-42C0-8F79-45ED2DF969BC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D40" authorId="8" shapeId="0" xr:uid="{8F652480-9BCA-4DD5-BA73-2A56E37C5FA3}">
      <text>
        <t>[Threaded comment]
Your version of Excel allows you to read this threaded comment; however, any edits to it will get removed if the file is opened in a newer version of Excel. Learn more: https://go.microsoft.com/fwlink/?linkid=870924
Comment:
    Combined VRT and NSVRC (ShenGo Demo) reported figures.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tc={E37A4BEF-C96C-4BA1-A0D2-A7F822B2D3AE}</author>
    <author>tc={CAA8D374-F452-465E-A64F-9E1F4248FCE8}</author>
    <author>tc={C4EFF538-7791-4C5F-9327-165D799F44C9}</author>
    <author>tc={6EA59C85-F490-40F9-95E6-D88E836D9180}</author>
    <author>tc={2144C367-A545-477F-B335-63A5765A6A78}</author>
    <author>tc={BC14373F-05BB-47C1-B067-B00C6710F294}</author>
    <author>tc={2BB57FDB-9511-4635-940B-CB537A2F309E}</author>
    <author>tc={EAB1F975-983B-40CD-BBA6-5D4250BE0276}</author>
    <author>tc={06C4B437-0788-4920-A22A-C0FDEADB261C}</author>
    <author>tc={C0E47389-8B10-47AD-8A49-8018C97803AD}</author>
    <author>tc={F86E2018-AAE3-4855-8695-97752CBDE1DB}</author>
    <author>tc={A9DA97EC-E222-495E-92A9-C573B014FEA9}</author>
    <author>tc={AF6DB1EB-D3E2-4AEB-B936-20F3355D640B}</author>
    <author>tc={B302D0CA-7ED9-41FD-A2C3-AE22F3E63757}</author>
    <author>tc={F47D1E2B-9247-4222-8D1E-9A90EDCBABA8}</author>
    <author>tc={DC2BBDF7-12D9-4C77-8BEB-B1D3C90072D9}</author>
    <author>tc={A29E7398-62D7-4084-A34E-5EFF0BD2AEDF}</author>
    <author>tc={8ED0E184-8FC3-4BC1-BC7D-AEF9E27984B4}</author>
    <author>tc={A20D73F2-78E1-4FB2-B21F-3A8E446173D8}</author>
    <author>tc={3CAF34A1-21BD-4E2F-BE9E-0F1842381763}</author>
  </authors>
  <commentList>
    <comment ref="B7" authorId="0" shapeId="0" xr:uid="{E37A4BEF-C96C-4BA1-A0D2-A7F822B2D3AE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C7" authorId="1" shapeId="0" xr:uid="{CAA8D374-F452-465E-A64F-9E1F4248FCE8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D7" authorId="2" shapeId="0" xr:uid="{C4EFF538-7791-4C5F-9327-165D799F44C9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D13" authorId="3" shapeId="0" xr:uid="{6EA59C85-F490-40F9-95E6-D88E836D9180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3/6/26 based on RY24 NTD reporting</t>
      </text>
    </comment>
    <comment ref="B19" authorId="4" shapeId="0" xr:uid="{2144C367-A545-477F-B335-63A5765A6A78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C19" authorId="5" shapeId="0" xr:uid="{BC14373F-05BB-47C1-B067-B00C6710F294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D19" authorId="6" shapeId="0" xr:uid="{2BB57FDB-9511-4635-940B-CB537A2F309E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E19" authorId="7" shapeId="0" xr:uid="{EAB1F975-983B-40CD-BBA6-5D4250BE0276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B23" authorId="8" shapeId="0" xr:uid="{06C4B437-0788-4920-A22A-C0FDEADB261C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B24" authorId="9" shapeId="0" xr:uid="{C0E47389-8B10-47AD-8A49-8018C97803AD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C24" authorId="10" shapeId="0" xr:uid="{F86E2018-AAE3-4855-8695-97752CBDE1DB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D24" authorId="11" shapeId="0" xr:uid="{A9DA97EC-E222-495E-92A9-C573B014FEA9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E24" authorId="12" shapeId="0" xr:uid="{AF6DB1EB-D3E2-4AEB-B936-20F3355D640B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C26" authorId="13" shapeId="0" xr:uid="{B302D0CA-7ED9-41FD-A2C3-AE22F3E63757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D26" authorId="14" shapeId="0" xr:uid="{F47D1E2B-9247-4222-8D1E-9A90EDCBABA8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E26" authorId="15" shapeId="0" xr:uid="{DC2BBDF7-12D9-4C77-8BEB-B1D3C90072D9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B37" authorId="16" shapeId="0" xr:uid="{A29E7398-62D7-4084-A34E-5EFF0BD2AEDF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C37" authorId="17" shapeId="0" xr:uid="{8ED0E184-8FC3-4BC1-BC7D-AEF9E27984B4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D37" authorId="18" shapeId="0" xr:uid="{A20D73F2-78E1-4FB2-B21F-3A8E446173D8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C40" authorId="19" shapeId="0" xr:uid="{3CAF34A1-21BD-4E2F-BE9E-0F1842381763}">
      <text>
        <t>[Threaded comment]
Your version of Excel allows you to read this threaded comment; however, any edits to it will get removed if the file is opened in a newer version of Excel. Learn more: https://go.microsoft.com/fwlink/?linkid=870924
Comment:
    Combined VRT and NSVRC (ShenGo Demo) reported figures.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tc={4F7C5641-37F3-4B2D-A4D7-6872DDF89AC4}</author>
    <author>tc={127DAAE4-0F6E-4B3F-9147-387314B2696A}</author>
    <author>tc={F49D1564-2F24-4850-8B64-212DFDFBF4DF}</author>
    <author>tc={00C0880E-52D3-478E-9A36-82EAE1010802}</author>
    <author>tc={61BD9924-3B6F-4E81-8384-1865B28B30CF}</author>
    <author>tc={07EF9F89-92F1-43E7-87B0-4239202D07FD}</author>
    <author>tc={24BCA393-EE54-4FEB-B39C-7F0988358ECB}</author>
    <author>tc={C0F3EB5D-0AFF-4951-8076-80DB4334D4EB}</author>
    <author>tc={65FA7240-22F2-46C0-9DF3-F46B78770CE7}</author>
    <author>tc={7DF57E5A-0769-4227-A205-491891548E67}</author>
    <author>tc={CEDA2E6D-0183-43A4-9C2C-5B6B60E943A5}</author>
    <author>tc={DDC1B100-69AC-4C5F-A0C6-610EC1DEF51E}</author>
    <author>tc={7BEB2C03-1EA1-4470-AE69-5CC9AD1726E4}</author>
    <author>tc={0BCC0D82-A58C-4633-8E8B-5CC19B7B87B6}</author>
    <author>tc={14934EF4-265F-4F3B-8348-6BCCC679F004}</author>
    <author>tc={8B942C66-5A84-48B1-94A5-8630DAFB9941}</author>
    <author>tc={659A4C90-0371-4182-81F5-36BEB527D22B}</author>
    <author>tc={F44012D5-3BD4-4BAB-B3CF-D130548E41B3}</author>
    <author>tc={F099F260-0560-4A38-94E0-3B656BE49EED}</author>
    <author>tc={3E979E27-75C4-4570-B349-530C911DEDD8}</author>
  </authors>
  <commentList>
    <comment ref="C7" authorId="0" shapeId="0" xr:uid="{4F7C5641-37F3-4B2D-A4D7-6872DDF89AC4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D7" authorId="1" shapeId="0" xr:uid="{127DAAE4-0F6E-4B3F-9147-387314B2696A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E7" authorId="2" shapeId="0" xr:uid="{F49D1564-2F24-4850-8B64-212DFDFBF4D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E13" authorId="3" shapeId="0" xr:uid="{00C0880E-52D3-478E-9A36-82EAE1010802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3/6/26 based on RY24 NTD reporting</t>
      </text>
    </comment>
    <comment ref="C19" authorId="4" shapeId="0" xr:uid="{61BD9924-3B6F-4E81-8384-1865B28B30C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&gt;20
Reply:
    +10,112</t>
      </text>
    </comment>
    <comment ref="D19" authorId="5" shapeId="0" xr:uid="{07EF9F89-92F1-43E7-87B0-4239202D07FD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+10,206</t>
      </text>
    </comment>
    <comment ref="E19" authorId="6" shapeId="0" xr:uid="{24BCA393-EE54-4FEB-B39C-7F0988358EC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+ 12,922.92 </t>
      </text>
    </comment>
    <comment ref="F19" authorId="7" shapeId="0" xr:uid="{C0F3EB5D-0AFF-4951-8076-80DB4334D4EB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+ 16,940</t>
      </text>
    </comment>
    <comment ref="C23" authorId="8" shapeId="0" xr:uid="{65FA7240-22F2-46C0-9DF3-F46B78770CE7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&gt;20
Reply:
    +2521</t>
      </text>
    </comment>
    <comment ref="C24" authorId="9" shapeId="0" xr:uid="{7DF57E5A-0769-4227-A205-491891548E67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communter routes &gt;20mi
Reply:
    +71,220</t>
      </text>
    </comment>
    <comment ref="D24" authorId="10" shapeId="0" xr:uid="{CEDA2E6D-0183-43A4-9C2C-5B6B60E943A5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+57,989</t>
      </text>
    </comment>
    <comment ref="E24" authorId="11" shapeId="0" xr:uid="{DDC1B100-69AC-4C5F-A0C6-610EC1DEF51E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+ 62,202</t>
      </text>
    </comment>
    <comment ref="F24" authorId="12" shapeId="0" xr:uid="{7BEB2C03-1EA1-4470-AE69-5CC9AD1726E4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+ 66,989</t>
      </text>
    </comment>
    <comment ref="D26" authorId="13" shapeId="0" xr:uid="{0BCC0D82-A58C-4633-8E8B-5CC19B7B87B6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+1,652</t>
      </text>
    </comment>
    <comment ref="E26" authorId="14" shapeId="0" xr:uid="{14934EF4-265F-4F3B-8348-6BCCC679F004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+2,457</t>
      </text>
    </comment>
    <comment ref="F26" authorId="15" shapeId="0" xr:uid="{8B942C66-5A84-48B1-94A5-8630DAFB9941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+ 646</t>
      </text>
    </comment>
    <comment ref="C37" authorId="16" shapeId="0" xr:uid="{659A4C90-0371-4182-81F5-36BEB527D22B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D37" authorId="17" shapeId="0" xr:uid="{F44012D5-3BD4-4BAB-B3CF-D130548E41B3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E37" authorId="18" shapeId="0" xr:uid="{F099F260-0560-4A38-94E0-3B656BE49EED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D40" authorId="19" shapeId="0" xr:uid="{3E979E27-75C4-4570-B349-530C911DEDD8}">
      <text>
        <t>[Threaded comment]
Your version of Excel allows you to read this threaded comment; however, any edits to it will get removed if the file is opened in a newer version of Excel. Learn more: https://go.microsoft.com/fwlink/?linkid=870924
Comment:
    Combined VRT and NSVRC (ShenGo Demo) reported figures.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tc={36B59CE7-6EA7-4A4C-8C65-41A774D6247C}</author>
    <author>tc={01AA1706-6211-4EC1-9B53-DC0D5257D0C6}</author>
    <author>tc={8679D202-1F25-4F9E-8AF8-4978D6D3946D}</author>
    <author>tc={9542FD89-06A6-4365-B2E8-6B836991A2FA}</author>
    <author>tc={57F4361C-DB2E-4816-9FDC-CBD6A027A4C4}</author>
    <author>tc={667CCC38-3D80-48E6-8EE7-1C07F871B1EF}</author>
    <author>tc={A7A65532-6867-47BA-B61E-8E4F5CCA185A}</author>
    <author>tc={FD0C58DD-1080-490F-A1F1-B9C42CAF4E8D}</author>
    <author>tc={526095B3-9EB1-4E4D-85D2-161749A9C6FC}</author>
    <author>tc={ED891C40-F5A4-44FC-93E0-2C2119571A58}</author>
    <author>tc={BB9CBB00-D506-44AF-A6AB-68070A8AC55B}</author>
    <author>tc={AAFF671F-045C-4509-B170-D7D26A1F8AC5}</author>
    <author>tc={869D37C6-E99D-4C50-982E-D51ACDAD24E3}</author>
    <author>tc={A97E43FD-C0C5-4FAC-82E7-03C42C6BCE9C}</author>
    <author>tc={D536238D-4FB7-4FD8-984A-ACF5B0ABDDEB}</author>
    <author>tc={04C4D234-BEF8-4A51-ABC5-8154AA61AD4F}</author>
    <author>tc={0A1D32ED-53D1-4D40-A597-88BBADB55E12}</author>
    <author>tc={B567F46C-6771-4AF7-9B67-0512FA3222E7}</author>
    <author>tc={15FF8BDB-F2EB-4480-9DEF-6C55D4CB3C02}</author>
    <author>tc={588EDEA2-7C53-4AC9-AB58-E3D29CF986AA}</author>
  </authors>
  <commentList>
    <comment ref="C7" authorId="0" shapeId="0" xr:uid="{36B59CE7-6EA7-4A4C-8C65-41A774D6247C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D7" authorId="1" shapeId="0" xr:uid="{01AA1706-6211-4EC1-9B53-DC0D5257D0C6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E7" authorId="2" shapeId="0" xr:uid="{8679D202-1F25-4F9E-8AF8-4978D6D3946D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E13" authorId="3" shapeId="0" xr:uid="{9542FD89-06A6-4365-B2E8-6B836991A2FA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3/3/26 based on RY24 NTD reporting</t>
      </text>
    </comment>
    <comment ref="C19" authorId="4" shapeId="0" xr:uid="{57F4361C-DB2E-4816-9FDC-CBD6A027A4C4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D19" authorId="5" shapeId="0" xr:uid="{667CCC38-3D80-48E6-8EE7-1C07F871B1EF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E19" authorId="6" shapeId="0" xr:uid="{A7A65532-6867-47BA-B61E-8E4F5CCA185A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F19" authorId="7" shapeId="0" xr:uid="{FD0C58DD-1080-490F-A1F1-B9C42CAF4E8D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C23" authorId="8" shapeId="0" xr:uid="{526095B3-9EB1-4E4D-85D2-161749A9C6FC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C24" authorId="9" shapeId="0" xr:uid="{ED891C40-F5A4-44FC-93E0-2C2119571A58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D24" authorId="10" shapeId="0" xr:uid="{BB9CBB00-D506-44AF-A6AB-68070A8AC55B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E24" authorId="11" shapeId="0" xr:uid="{AAFF671F-045C-4509-B170-D7D26A1F8AC5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F24" authorId="12" shapeId="0" xr:uid="{869D37C6-E99D-4C50-982E-D51ACDAD24E3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D26" authorId="13" shapeId="0" xr:uid="{A97E43FD-C0C5-4FAC-82E7-03C42C6BCE9C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E26" authorId="14" shapeId="0" xr:uid="{D536238D-4FB7-4FD8-984A-ACF5B0ABDDEB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F26" authorId="15" shapeId="0" xr:uid="{04C4D234-BEF8-4A51-ABC5-8154AA61AD4F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Deadhead for Performance Metrics</t>
      </text>
    </comment>
    <comment ref="C37" authorId="16" shapeId="0" xr:uid="{0A1D32ED-53D1-4D40-A597-88BBADB55E12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D37" authorId="17" shapeId="0" xr:uid="{B567F46C-6771-4AF7-9B67-0512FA3222E7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E37" authorId="18" shapeId="0" xr:uid="{15FF8BDB-F2EB-4480-9DEF-6C55D4CB3C02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D40" authorId="19" shapeId="0" xr:uid="{588EDEA2-7C53-4AC9-AB58-E3D29CF986AA}">
      <text>
        <t>[Threaded comment]
Your version of Excel allows you to read this threaded comment; however, any edits to it will get removed if the file is opened in a newer version of Excel. Learn more: https://go.microsoft.com/fwlink/?linkid=870924
Comment:
    Combined VRT and NSVRC (ShenGo Demo) reported figures.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tc={AA156444-9B68-4DF9-AE0B-359B68D9A516}</author>
    <author>tc={BC9C50B9-9D70-450D-8F3F-CD2E7D5DB5DF}</author>
    <author>tc={85E228B9-BAEA-4B57-B485-059E54B1C691}</author>
    <author>tc={8206DE07-C1CE-48A0-B220-4C3A0A4AD249}</author>
    <author>tc={4CFB3F2D-451A-455F-8F99-F95DB2E03592}</author>
    <author>tc={D863D709-1B89-4A56-B715-39539AD901BC}</author>
    <author>tc={925C265C-A6CA-4A8D-ACBC-FD68FBDDE54B}</author>
    <author>tc={A8D1CA64-7D68-4DFD-B2A5-F366F4BB268C}</author>
    <author>tc={1813ED45-1CEA-4FCC-AFF3-052C0119B887}</author>
    <author>tc={9FFF7210-EA95-4B01-BDC2-DB6DB9E6DC27}</author>
    <author>tc={38C7C36D-1BE6-4BF0-A954-67599771BF83}</author>
    <author>tc={7725B155-FFB7-40C8-B4C9-FD188E3DF762}</author>
    <author>tc={23333B26-4EF1-4475-BA88-4F873232CA6F}</author>
    <author>tc={AF663CEF-F051-4A7E-94F9-75328E24E595}</author>
    <author>tc={2FEA4CF8-A9FD-492C-B8E2-84C9FD882180}</author>
    <author>tc={98A0A1CE-21BE-4FBE-82AA-BCCCF29BE99A}</author>
    <author>tc={E7E67C51-8ED5-4C3B-A82C-CA59648B5914}</author>
    <author>tc={B71C3FD2-805D-44DF-BDB9-1DF8B83F3BC3}</author>
    <author>tc={9264214D-2FDB-43DE-92BD-94675889E783}</author>
    <author>tc={D35B512E-5B89-464C-B1B2-A2BC4C2EFD7B}</author>
  </authors>
  <commentList>
    <comment ref="C7" authorId="0" shapeId="0" xr:uid="{AA156444-9B68-4DF9-AE0B-359B68D9A516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D7" authorId="1" shapeId="0" xr:uid="{BC9C50B9-9D70-450D-8F3F-CD2E7D5DB5D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E7" authorId="2" shapeId="0" xr:uid="{85E228B9-BAEA-4B57-B485-059E54B1C691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paratransit to CATs figures for FY21-FY24.</t>
      </text>
    </comment>
    <comment ref="E13" authorId="3" shapeId="0" xr:uid="{8206DE07-C1CE-48A0-B220-4C3A0A4AD249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3/3/26 based on RY24 NTD reporting</t>
      </text>
    </comment>
    <comment ref="C19" authorId="4" shapeId="0" xr:uid="{4CFB3F2D-451A-455F-8F99-F95DB2E03592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&gt;20
Reply:
    +427962.5</t>
      </text>
    </comment>
    <comment ref="D19" authorId="5" shapeId="0" xr:uid="{D863D709-1B89-4A56-B715-39539AD901BC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+ 501,367</t>
      </text>
    </comment>
    <comment ref="E19" authorId="6" shapeId="0" xr:uid="{925C265C-A6CA-4A8D-ACBC-FD68FBDDE54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+ 587,607 </t>
      </text>
    </comment>
    <comment ref="F19" authorId="7" shapeId="0" xr:uid="{A8D1CA64-7D68-4DFD-B2A5-F366F4BB268C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+ 544,235</t>
      </text>
    </comment>
    <comment ref="C23" authorId="8" shapeId="0" xr:uid="{1813ED45-1CEA-4FCC-AFF3-052C0119B887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&gt;20
Reply:
    +85,445</t>
      </text>
    </comment>
    <comment ref="C24" authorId="9" shapeId="0" xr:uid="{9FFF7210-EA95-4B01-BDC2-DB6DB9E6DC27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communter routes &gt;20mi
Reply:
    +1,905,553</t>
      </text>
    </comment>
    <comment ref="D24" authorId="10" shapeId="0" xr:uid="{38C7C36D-1BE6-4BF0-A954-67599771BF83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+1,784,701</t>
      </text>
    </comment>
    <comment ref="E24" authorId="11" shapeId="0" xr:uid="{7725B155-FFB7-40C8-B4C9-FD188E3DF762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+ 1,922,948</t>
      </text>
    </comment>
    <comment ref="F24" authorId="12" shapeId="0" xr:uid="{23333B26-4EF1-4475-BA88-4F873232CA6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+2,078,432</t>
      </text>
    </comment>
    <comment ref="D26" authorId="13" shapeId="0" xr:uid="{AF663CEF-F051-4A7E-94F9-75328E24E59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+34,410 </t>
      </text>
    </comment>
    <comment ref="E26" authorId="14" shapeId="0" xr:uid="{2FEA4CF8-A9FD-492C-B8E2-84C9FD882180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+60,554</t>
      </text>
    </comment>
    <comment ref="F26" authorId="15" shapeId="0" xr:uid="{98A0A1CE-21BE-4FBE-82AA-BCCCF29BE99A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deadhead for uni-directional commuter routes &gt; 20 mi
Reply:
    + 11,322</t>
      </text>
    </comment>
    <comment ref="C37" authorId="16" shapeId="0" xr:uid="{E7E67C51-8ED5-4C3B-A82C-CA59648B5914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D37" authorId="17" shapeId="0" xr:uid="{B71C3FD2-805D-44DF-BDB9-1DF8B83F3BC3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E37" authorId="18" shapeId="0" xr:uid="{9264214D-2FDB-43DE-92BD-94675889E783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paratransit from Jaunts figures for FY21-FY24.</t>
      </text>
    </comment>
    <comment ref="D40" authorId="19" shapeId="0" xr:uid="{D35B512E-5B89-464C-B1B2-A2BC4C2EFD7B}">
      <text>
        <t>[Threaded comment]
Your version of Excel allows you to read this threaded comment; however, any edits to it will get removed if the file is opened in a newer version of Excel. Learn more: https://go.microsoft.com/fwlink/?linkid=870924
Comment:
    Combined VRT and NSVRC (ShenGo Demo) reported figures.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tc={1D5860C3-C898-4661-AD6C-AE71019F34DD}</author>
    <author>tc={05D90CC7-A741-4918-A355-094F68730A63}</author>
    <author>VITA Program</author>
    <author>tc={DBD12ACC-4628-4E06-A5D0-AA70AB547931}</author>
    <author>tc={20AEF51C-3D49-460D-9317-E9621B22F3A8}</author>
  </authors>
  <commentList>
    <comment ref="C7" authorId="0" shapeId="0" xr:uid="{1D5860C3-C898-4661-AD6C-AE71019F34DD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Revised 3/6/2025.  Includes Jaunt Urban.</t>
      </text>
    </comment>
    <comment ref="D7" authorId="1" shapeId="0" xr:uid="{05D90CC7-A741-4918-A355-094F68730A63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Revised 3/6/2025. Includes Jaunt Urban.</t>
      </text>
    </comment>
    <comment ref="C11" authorId="2" shapeId="0" xr:uid="{264B3F2A-AA78-4517-960C-7998968A8C8B}">
      <text>
        <r>
          <rPr>
            <b/>
            <sz val="9"/>
            <color indexed="81"/>
            <rFont val="Tahoma"/>
            <family val="2"/>
          </rPr>
          <t>VITA Program:</t>
        </r>
        <r>
          <rPr>
            <sz val="9"/>
            <color indexed="81"/>
            <rFont val="Tahoma"/>
            <family val="2"/>
          </rPr>
          <t xml:space="preserve">
changed from original list from 3/17/2022</t>
        </r>
      </text>
    </comment>
    <comment ref="C14" authorId="2" shapeId="0" xr:uid="{A4D2CC30-920D-4A45-A280-33A8173BBE6D}">
      <text>
        <r>
          <rPr>
            <b/>
            <sz val="9"/>
            <color indexed="81"/>
            <rFont val="Tahoma"/>
            <family val="2"/>
          </rPr>
          <t>VITA Program:</t>
        </r>
        <r>
          <rPr>
            <sz val="9"/>
            <color indexed="81"/>
            <rFont val="Tahoma"/>
            <family val="2"/>
          </rPr>
          <t xml:space="preserve">
changed from original schedule 3/17/2022</t>
        </r>
      </text>
    </comment>
    <comment ref="C37" authorId="3" shapeId="0" xr:uid="{DBD12ACC-4628-4E06-A5D0-AA70AB547931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Revised 3/6/2025.  Removes JAUNT Urban.</t>
      </text>
    </comment>
    <comment ref="D37" authorId="4" shapeId="0" xr:uid="{20AEF51C-3D49-460D-9317-E9621B22F3A8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Revised 3/6/2025.  Removes JAUNT Urban.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VITA Program</author>
    <author>tc={9D6F9B68-4DD1-4951-9BBB-D6620207DF7D}</author>
  </authors>
  <commentList>
    <comment ref="BY9" authorId="0" shapeId="0" xr:uid="{35FB502F-98C9-42AF-ACA1-7774669BC4E1}">
      <text>
        <r>
          <rPr>
            <b/>
            <sz val="9"/>
            <color indexed="81"/>
            <rFont val="Tahoma"/>
            <family val="2"/>
          </rPr>
          <t>VITA Program:</t>
        </r>
        <r>
          <rPr>
            <sz val="9"/>
            <color indexed="81"/>
            <rFont val="Tahoma"/>
            <family val="2"/>
          </rPr>
          <t xml:space="preserve">
added 'or' statement to formula to ensure anyone at the 30% cap does not get additional state funding. (Note from Finance FY22/23 timeframe)</t>
        </r>
      </text>
    </comment>
    <comment ref="BQ11" authorId="1" shapeId="0" xr:uid="{9D6F9B68-4DD1-4951-9BBB-D6620207DF7D}">
      <text>
        <t>[Threaded comment]
Your version of Excel allows you to read this threaded comment; however, any edits to it will get removed if the file is opened in a newer version of Excel. Learn more: https://go.microsoft.com/fwlink/?linkid=870924
Comment:
    If agencies are above 30%, a second round of re-allocation is needed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VITA Program</author>
    <author>tc={FDD6B572-C718-445D-8FF5-805E7CC71D7F}</author>
  </authors>
  <commentList>
    <comment ref="BY9" authorId="0" shapeId="0" xr:uid="{755B31D4-A866-429F-96F7-F6AA13543866}">
      <text>
        <r>
          <rPr>
            <b/>
            <sz val="9"/>
            <color indexed="81"/>
            <rFont val="Tahoma"/>
            <family val="2"/>
          </rPr>
          <t>VITA Program:</t>
        </r>
        <r>
          <rPr>
            <sz val="9"/>
            <color indexed="81"/>
            <rFont val="Tahoma"/>
            <family val="2"/>
          </rPr>
          <t xml:space="preserve">
added 'or' statement to formula to ensure anyone at the 30% cap does not get additional state funding. (Note from Finance FY22/23 timeframe)</t>
        </r>
      </text>
    </comment>
    <comment ref="BQ11" authorId="1" shapeId="0" xr:uid="{FDD6B572-C718-445D-8FF5-805E7CC71D7F}">
      <text>
        <t>[Threaded comment]
Your version of Excel allows you to read this threaded comment; however, any edits to it will get removed if the file is opened in a newer version of Excel. Learn more: https://go.microsoft.com/fwlink/?linkid=870924
Comment:
    If agencies are above 30%, a second round of re-allocation is needed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VITA Program</author>
  </authors>
  <commentList>
    <comment ref="BL6" authorId="0" shapeId="0" xr:uid="{BEE3AD89-093B-45AD-99BA-F7532B74E191}">
      <text>
        <r>
          <rPr>
            <b/>
            <sz val="9"/>
            <color indexed="81"/>
            <rFont val="Tahoma"/>
            <family val="2"/>
          </rPr>
          <t>VITA Program:</t>
        </r>
        <r>
          <rPr>
            <sz val="9"/>
            <color indexed="81"/>
            <rFont val="Tahoma"/>
            <family val="2"/>
          </rPr>
          <t xml:space="preserve">
added 'or' statement to formula to ensure anyone at the 30% cap does not get additional state funding.</t>
        </r>
      </text>
    </comment>
    <comment ref="BX6" authorId="0" shapeId="0" xr:uid="{736B026E-2850-447F-9F32-444486EE70C0}">
      <text>
        <r>
          <rPr>
            <b/>
            <sz val="9"/>
            <color indexed="81"/>
            <rFont val="Tahoma"/>
            <family val="2"/>
          </rPr>
          <t>VITA Program:</t>
        </r>
        <r>
          <rPr>
            <sz val="9"/>
            <color indexed="81"/>
            <rFont val="Tahoma"/>
            <family val="2"/>
          </rPr>
          <t xml:space="preserve">
added 'or' statement to formula to ensure anyone at the 30% cap does not get additional state funding.</t>
        </r>
      </text>
    </comment>
    <comment ref="B15" authorId="0" shapeId="0" xr:uid="{E04B5CEB-C4BC-496D-80FE-4AA33BB091DA}">
      <text>
        <r>
          <rPr>
            <b/>
            <sz val="9"/>
            <color indexed="81"/>
            <rFont val="Tahoma"/>
            <family val="2"/>
          </rPr>
          <t>VITA Program:</t>
        </r>
        <r>
          <rPr>
            <sz val="9"/>
            <color indexed="81"/>
            <rFont val="Tahoma"/>
            <family val="2"/>
          </rPr>
          <t xml:space="preserve">
Remove Greene County.  All amounts combined into JAUNT.
</t>
        </r>
      </text>
    </comment>
  </commentList>
</comments>
</file>

<file path=xl/sharedStrings.xml><?xml version="1.0" encoding="utf-8"?>
<sst xmlns="http://schemas.openxmlformats.org/spreadsheetml/2006/main" count="2261" uniqueCount="388">
  <si>
    <t>VIRGINIA DEPARTMENT OF RAIL AND PUBLIC TRANSPORTATION</t>
  </si>
  <si>
    <t>MERIT OPERATING ASSISTANCE SIZING ALLOCATION CALCULATOR</t>
  </si>
  <si>
    <t xml:space="preserve">Summary Assumptions </t>
  </si>
  <si>
    <t>Capped Funding</t>
  </si>
  <si>
    <t>Total P&amp;S</t>
  </si>
  <si>
    <t>Total Available Assistance Assumption FY27</t>
  </si>
  <si>
    <t>COHORT ALLOCATIONS FY27</t>
  </si>
  <si>
    <t>Large Urban</t>
  </si>
  <si>
    <t>Small Urban</t>
  </si>
  <si>
    <t>Rural</t>
  </si>
  <si>
    <t>Share of Total</t>
  </si>
  <si>
    <t>Performance and Stability Fund Revenues</t>
  </si>
  <si>
    <t>Available Assistance FY27</t>
  </si>
  <si>
    <t>Total Available Assistance Assumption FY26</t>
  </si>
  <si>
    <t>COHORT ALLOCATIONS FY26</t>
  </si>
  <si>
    <t>Contribution to Performance and Stability Fund Revenues</t>
  </si>
  <si>
    <t>Available Assistance FY26</t>
  </si>
  <si>
    <t>Total Available Assistance Assumption FY25</t>
  </si>
  <si>
    <t>COHORT ALLOCATIONS FY25</t>
  </si>
  <si>
    <t>Available Assistance FY25</t>
  </si>
  <si>
    <t>RECIPIENT DESIGNATIONS</t>
  </si>
  <si>
    <t>Recipient</t>
  </si>
  <si>
    <t>Designation</t>
  </si>
  <si>
    <t>AASC / Four County Transit</t>
  </si>
  <si>
    <t>Bay Aging</t>
  </si>
  <si>
    <t>Central Shenandoah PDC</t>
  </si>
  <si>
    <t>Charlottesville Area Transit</t>
  </si>
  <si>
    <t>City of Bristol Virginia</t>
  </si>
  <si>
    <t>City of Harrisonburg Dept. of Public Transportation</t>
  </si>
  <si>
    <t>City of Petersburg</t>
  </si>
  <si>
    <t>City of Radford</t>
  </si>
  <si>
    <t>City of Suffolk</t>
  </si>
  <si>
    <t>City of Winchester</t>
  </si>
  <si>
    <t>County of Loudoun</t>
  </si>
  <si>
    <t>Danville Transit System</t>
  </si>
  <si>
    <t>District Three Public Transit</t>
  </si>
  <si>
    <t>Farmville Area Bus</t>
  </si>
  <si>
    <t>Fredericksburg Regional Transit</t>
  </si>
  <si>
    <t>Greater Lynchburg Transit Company</t>
  </si>
  <si>
    <t>Greater Richmond Transit Company</t>
  </si>
  <si>
    <t>Greater Roanoke Transit Company</t>
  </si>
  <si>
    <t>Greensville County</t>
  </si>
  <si>
    <t>Hampton Roads Transit</t>
  </si>
  <si>
    <t>JAUNT, Inc.</t>
  </si>
  <si>
    <t>Lake Country Area Agency on Aging</t>
  </si>
  <si>
    <t>Mountain Empire Older Citizens, Inc.</t>
  </si>
  <si>
    <t>NVTC - Arlington County</t>
  </si>
  <si>
    <t>NVTC - City of Alexandria</t>
  </si>
  <si>
    <t>NVTC - City of Fairfax</t>
  </si>
  <si>
    <t>NVTC - Fairfax County</t>
  </si>
  <si>
    <t>PRTC</t>
  </si>
  <si>
    <t>Pulaski Area Transit</t>
  </si>
  <si>
    <t>RADAR UHSTS</t>
  </si>
  <si>
    <t>STAR Transit</t>
  </si>
  <si>
    <t>Town of Altavista</t>
  </si>
  <si>
    <t>Town of Bedford</t>
  </si>
  <si>
    <t>Town of Blacksburg</t>
  </si>
  <si>
    <t>Town Of Blackstone/ Blackstone Area Bus System</t>
  </si>
  <si>
    <t>Town of Bluefield-Graham Transit</t>
  </si>
  <si>
    <t>Town of Chincoteague</t>
  </si>
  <si>
    <t>Virginia Regional Transit</t>
  </si>
  <si>
    <t>Williamsburg Area Transit Authority</t>
  </si>
  <si>
    <t>DRAFT - FOR ILLUSTRATIVE PURPOSES ONLY</t>
  </si>
  <si>
    <t>MERIT - OPERATING ASSISTANCE PERFORMANCE CALCULATOR</t>
  </si>
  <si>
    <t>Large Urban Agencies</t>
  </si>
  <si>
    <t>PERCENTILE</t>
  </si>
  <si>
    <t>&lt;--Select Target Setting</t>
  </si>
  <si>
    <t>&lt;--Select Max Number of Targets Considered for Formula</t>
  </si>
  <si>
    <t>&lt;---For "PERCENTILE" Above, Set Target Percentile</t>
  </si>
  <si>
    <t>Change % Weights for Each Sizing Metric to See Impact 
⬇                    Ensure Total Equals 100%                    ⬇</t>
  </si>
  <si>
    <t>CURRENT FORMULA SIZE WEIGHTS</t>
  </si>
  <si>
    <t>LIVE SCENARIO SIZE WEIGHTS</t>
  </si>
  <si>
    <t>Operating Cost</t>
  </si>
  <si>
    <t>Ridership</t>
  </si>
  <si>
    <t>Revenue Hours</t>
  </si>
  <si>
    <t>Revenue Miles</t>
  </si>
  <si>
    <t>Total:</t>
  </si>
  <si>
    <t>Modify Weights until cell above is 100%</t>
  </si>
  <si>
    <t>Yes</t>
  </si>
  <si>
    <t>No</t>
  </si>
  <si>
    <t>Perf. Funding</t>
  </si>
  <si>
    <t>INPUT DATA</t>
  </si>
  <si>
    <t>Recpient</t>
  </si>
  <si>
    <t>2025 Operating Cost (For 30% Cap)</t>
  </si>
  <si>
    <t>FY 2023-25 Avg Operating Cost</t>
  </si>
  <si>
    <t>FY 2023-25 Avg  Ridership</t>
  </si>
  <si>
    <t>FY 2023-25 Avg  Revenue Hours</t>
  </si>
  <si>
    <t xml:space="preserve">FY 2023-25 Avg  Revenue Miles </t>
  </si>
  <si>
    <t>Sizing Metrics Hybrid Weight - Current Formula</t>
  </si>
  <si>
    <t>Sizing Metrics Hybrid Weight - Live Scenario</t>
  </si>
  <si>
    <t>Share of Total Cohort Base Revenue</t>
  </si>
  <si>
    <t xml:space="preserve"> Sizing/Base Allocation</t>
  </si>
  <si>
    <t>Share of Total Cohort Sizing/Base Revenue</t>
  </si>
  <si>
    <t xml:space="preserve"> Projected Sizing/Base Allocation </t>
  </si>
  <si>
    <t>FY25 Operating Cost (Performance)</t>
  </si>
  <si>
    <t>FY25 Ridership</t>
  </si>
  <si>
    <t>FY25 Revenue Hours</t>
  </si>
  <si>
    <t>FY25 Revenue Miles</t>
  </si>
  <si>
    <t xml:space="preserve">FY25 PMT </t>
  </si>
  <si>
    <t>Pax/Hour</t>
  </si>
  <si>
    <t>Pax/Mi</t>
  </si>
  <si>
    <t>Cost/Hr</t>
  </si>
  <si>
    <t>Cost/Mi</t>
  </si>
  <si>
    <t>Cost/Pax</t>
  </si>
  <si>
    <t>PMT/Mi</t>
  </si>
  <si>
    <t>PMT/Hr</t>
  </si>
  <si>
    <t xml:space="preserve">FY25 Pax/Hr  Target Achieved </t>
  </si>
  <si>
    <t xml:space="preserve">FY25 Pax/Mi Target Achieved </t>
  </si>
  <si>
    <t xml:space="preserve">Fy25 Cost/Hr Target Achieved </t>
  </si>
  <si>
    <t xml:space="preserve">FY25 Cost/Mi Target Achieved </t>
  </si>
  <si>
    <t xml:space="preserve">FY25 Cost/Pax Target Achieved </t>
  </si>
  <si>
    <t>FY25 PMT/Mi Target Achieved</t>
  </si>
  <si>
    <t>FY25 PMT/ Hr target Achieved</t>
  </si>
  <si>
    <t># Targets Met</t>
  </si>
  <si>
    <t>% of Perf Funding</t>
  </si>
  <si>
    <t>Performance Allocation</t>
  </si>
  <si>
    <t>Total Allocation</t>
  </si>
  <si>
    <t>FY2027 Allocation Per Current Formula</t>
  </si>
  <si>
    <t xml:space="preserve">$ Difference </t>
  </si>
  <si>
    <t>% Difference</t>
  </si>
  <si>
    <t>Variation from Prior Year</t>
  </si>
  <si>
    <t xml:space="preserve">TOTAL </t>
  </si>
  <si>
    <t>Weighted Average</t>
  </si>
  <si>
    <t>Check</t>
  </si>
  <si>
    <t>MEDIAN</t>
  </si>
  <si>
    <t>Notes</t>
  </si>
  <si>
    <t>MEAN</t>
  </si>
  <si>
    <t xml:space="preserve">FIXED </t>
  </si>
  <si>
    <t>Currently fixed at 60th percentile levels in FY23 data</t>
  </si>
  <si>
    <t>This tool is set up to test the imapct of different sizing weights on allocation share within cohorts. It does not represent actual MERIT allocations.</t>
  </si>
  <si>
    <t>This tool does not account for adjustments that may take place due to agency allocations capping at 30%</t>
  </si>
  <si>
    <t>This tool allocates 95% of the total MERIT Assistance as 5% is assumed to be set aside for perfromance and stability funding</t>
  </si>
  <si>
    <t xml:space="preserve">Perf. Funding </t>
  </si>
  <si>
    <t>2024 Operating Cost (For 30% Cap)</t>
  </si>
  <si>
    <t>FY 2022-24 Avg Operating Cost</t>
  </si>
  <si>
    <t>FY 2022-24 Avg  Ridership</t>
  </si>
  <si>
    <t>FY 2022-24 Avg  Revenue Hours</t>
  </si>
  <si>
    <t xml:space="preserve">FY 2022-24 Avg  Revenue Miles </t>
  </si>
  <si>
    <t>FY24 Operating Cost (Performance)</t>
  </si>
  <si>
    <t>FY24 Ridership</t>
  </si>
  <si>
    <t>FY24 Revenue Hours</t>
  </si>
  <si>
    <t>FY24 Revenue Miles</t>
  </si>
  <si>
    <t xml:space="preserve">FY24 PMT </t>
  </si>
  <si>
    <t xml:space="preserve">FY24 Pax/Hr  Target Achieved </t>
  </si>
  <si>
    <t xml:space="preserve">FY24 Pax/Mi Target Achieved </t>
  </si>
  <si>
    <t xml:space="preserve">FY24 Cost/Hr Target Achieved </t>
  </si>
  <si>
    <t xml:space="preserve">FY24 Cost/Mi Target Achieved </t>
  </si>
  <si>
    <t xml:space="preserve">FY24 Cost/Pax Target Achieved </t>
  </si>
  <si>
    <t>FY24 PMT/Mi Target Achieved</t>
  </si>
  <si>
    <t>FY24 PMT/Hr target Achieved</t>
  </si>
  <si>
    <t>FY2026 Allocation Per Current Formula</t>
  </si>
  <si>
    <t xml:space="preserve">Set to </t>
  </si>
  <si>
    <t>percentile</t>
  </si>
  <si>
    <t>2023 Operating Cost (For 30% Cap)</t>
  </si>
  <si>
    <t>FY 2021-23 Avg Operating Cost</t>
  </si>
  <si>
    <t>FY 2021-23 Avg  Ridership</t>
  </si>
  <si>
    <t>FY 2021-23 Avg  Revenue Hours</t>
  </si>
  <si>
    <t xml:space="preserve">FY 2021-23 Avg  Revenue Miles </t>
  </si>
  <si>
    <t>FY23 Operating Cost (Performance)</t>
  </si>
  <si>
    <t>FY23 Ridership</t>
  </si>
  <si>
    <t>FY23 Revenue Hours</t>
  </si>
  <si>
    <t>FY23 Revenue Miles</t>
  </si>
  <si>
    <t xml:space="preserve">FY23 PMT </t>
  </si>
  <si>
    <t xml:space="preserve">FY23 Pax/Hr  Target Achieved </t>
  </si>
  <si>
    <t xml:space="preserve">FY23 Pax/Mi Target Achieved </t>
  </si>
  <si>
    <t xml:space="preserve">FY23 Cost/Hr Target Achieved </t>
  </si>
  <si>
    <t xml:space="preserve">FY23 Cost/Mi Target Achieved </t>
  </si>
  <si>
    <t xml:space="preserve">FY23 Cost/Pax Target Achieved </t>
  </si>
  <si>
    <t>FY2025 Allocation Per Current Formula</t>
  </si>
  <si>
    <t>Small Urban Agencies</t>
  </si>
  <si>
    <t>`</t>
  </si>
  <si>
    <t>FY25 PMT</t>
  </si>
  <si>
    <t xml:space="preserve">Performance Allocation </t>
  </si>
  <si>
    <t>-</t>
  </si>
  <si>
    <t>FY24 PMT</t>
  </si>
  <si>
    <t xml:space="preserve"> Pax/Hr</t>
  </si>
  <si>
    <t xml:space="preserve"> Pax/Mi</t>
  </si>
  <si>
    <t xml:space="preserve"> Cost/Hr</t>
  </si>
  <si>
    <t xml:space="preserve"> Cost/Mi</t>
  </si>
  <si>
    <t xml:space="preserve"> Cost/Pax</t>
  </si>
  <si>
    <t xml:space="preserve"> PMT/Mi</t>
  </si>
  <si>
    <t xml:space="preserve"> PMT/Hr</t>
  </si>
  <si>
    <t>FY24 PMT/ Hr target Achieved</t>
  </si>
  <si>
    <t>FY23 PMT</t>
  </si>
  <si>
    <t>FY23 PMT/Mi Target Achieved</t>
  </si>
  <si>
    <t>FY23 PMT/ Hr target Achieved</t>
  </si>
  <si>
    <t>Rural Agencies</t>
  </si>
  <si>
    <t>FY25 Pax/Hour</t>
  </si>
  <si>
    <t>FY25 Pax/Mi</t>
  </si>
  <si>
    <t>FY25 Cost/Hr</t>
  </si>
  <si>
    <t>FY25 Cost/Mi</t>
  </si>
  <si>
    <t>FY25 Cost/Pax</t>
  </si>
  <si>
    <t>Sizing (Base) Allocation</t>
  </si>
  <si>
    <t>FY24 Pax/Hr</t>
  </si>
  <si>
    <t>FY24 Pax/Mi</t>
  </si>
  <si>
    <t>FY24 Cost/Hr</t>
  </si>
  <si>
    <t>FY24 Cost/Mi</t>
  </si>
  <si>
    <t>FY24 Cost/Pax</t>
  </si>
  <si>
    <t>REACH</t>
  </si>
  <si>
    <t>FY23 Pax/Hr</t>
  </si>
  <si>
    <t>FY23 Pax/Mi</t>
  </si>
  <si>
    <t>FY23 Cost/Hr</t>
  </si>
  <si>
    <t>FY23 Cost/Mi</t>
  </si>
  <si>
    <t>FY23 Cost/Pax</t>
  </si>
  <si>
    <t>As Reported to NTD</t>
  </si>
  <si>
    <t>DRPT-Reported</t>
  </si>
  <si>
    <t>Agency</t>
  </si>
  <si>
    <t>Small Urban Agency</t>
  </si>
  <si>
    <t>FY21 Ridership</t>
  </si>
  <si>
    <t>FY22 Ridership2</t>
  </si>
  <si>
    <t>Construction District</t>
  </si>
  <si>
    <t>SYIP Order</t>
  </si>
  <si>
    <t>Alphabetical Order</t>
  </si>
  <si>
    <t>3-Year Average FY27</t>
  </si>
  <si>
    <t>3-Year Average FY26</t>
  </si>
  <si>
    <t>3-Year Average FY25</t>
  </si>
  <si>
    <t>Agency Type</t>
  </si>
  <si>
    <t>Change FY24 to FY25</t>
  </si>
  <si>
    <t>% Change</t>
  </si>
  <si>
    <t>Bristol</t>
  </si>
  <si>
    <t>Culpeper</t>
  </si>
  <si>
    <t>Fredericksburg</t>
  </si>
  <si>
    <t>Hampton</t>
  </si>
  <si>
    <t>Lynchburg</t>
  </si>
  <si>
    <t>Northern Va</t>
  </si>
  <si>
    <t>Richmond</t>
  </si>
  <si>
    <t>Salem</t>
  </si>
  <si>
    <t>Staunton</t>
  </si>
  <si>
    <t>XMulti</t>
  </si>
  <si>
    <t>Total</t>
  </si>
  <si>
    <t>FY22 Revenue Hours</t>
  </si>
  <si>
    <t>FY21 Revenue Hours</t>
  </si>
  <si>
    <t>FY22 Revenue Hours2</t>
  </si>
  <si>
    <t>FY21 Revenue Miles</t>
  </si>
  <si>
    <t>FY22 Revenue Miles2</t>
  </si>
  <si>
    <t>FY21 Operating Cost Performance</t>
  </si>
  <si>
    <t>FY22 Operating Cost Performance2</t>
  </si>
  <si>
    <t>FY23 Operating Cost Performance</t>
  </si>
  <si>
    <t>FY24 Operating Cost Performance</t>
  </si>
  <si>
    <t>FY25 Operating Cost Performance</t>
  </si>
  <si>
    <t>FY27 MERIT - Operating Assistance Allocation Calculations (Operating Formula)</t>
  </si>
  <si>
    <t>Sizing Metrics</t>
  </si>
  <si>
    <t>Performance Metric Trends                                                                                                         Performance Metric Trends                                                                                                           Performance Metric Trends                                                                                                         Performance Metric Trends                                                                                                         Performance Metric Trends</t>
  </si>
  <si>
    <t>Performance Weights</t>
  </si>
  <si>
    <t xml:space="preserve"> Initial Formula Allocation</t>
  </si>
  <si>
    <t>30% Cap Redistribution Round 1</t>
  </si>
  <si>
    <t>30% Cap Redistribution Round 2</t>
  </si>
  <si>
    <t xml:space="preserve"> Final Allocation</t>
  </si>
  <si>
    <t>Sizing Weights:</t>
  </si>
  <si>
    <t>Performance Metric Weight:</t>
  </si>
  <si>
    <t>Available Assistance:</t>
  </si>
  <si>
    <t>Operating Assistance Cap:</t>
  </si>
  <si>
    <t xml:space="preserve">Funding to Re-Allocate </t>
  </si>
  <si>
    <t>Funding to Re-Allocate</t>
  </si>
  <si>
    <t>operating funds available</t>
  </si>
  <si>
    <t>2025 Agency Data used for Size-Weight Hybrid</t>
  </si>
  <si>
    <t>*</t>
  </si>
  <si>
    <t>FY2022, 2023, 2024, 2025 Agency Data used for Size-Weight Hybrid</t>
  </si>
  <si>
    <t>Recipient (Eligible Agency)</t>
  </si>
  <si>
    <t>Size-Weight (Hybrid)</t>
  </si>
  <si>
    <t>Performance Metric 1</t>
  </si>
  <si>
    <t>Performance Metric 2</t>
  </si>
  <si>
    <t>Performance Metric 3</t>
  </si>
  <si>
    <t>Performance Metric 4</t>
  </si>
  <si>
    <t>Performance Metric 5</t>
  </si>
  <si>
    <t>fixed formula</t>
  </si>
  <si>
    <t>Passengers per Revenue Hour</t>
  </si>
  <si>
    <t>Passengers per Revenue Mile</t>
  </si>
  <si>
    <t>Cost Per Revenue Hour</t>
  </si>
  <si>
    <t>Cost Per Revenue Mile</t>
  </si>
  <si>
    <t>Cost per Passenger</t>
  </si>
  <si>
    <t>Operating Assistance 30% Cap Calculations Round 1</t>
  </si>
  <si>
    <t>Re-Allocation of Capped Operating Assistance Round 1</t>
  </si>
  <si>
    <t>Operating Assistance 30% Cap Calculations Round 2</t>
  </si>
  <si>
    <t>Re-Allocation of Capped Operating Assistance Round 2</t>
  </si>
  <si>
    <t>FINAL FY25 OPERATING ASSISTANCE ALLOCATIONS</t>
  </si>
  <si>
    <t>2025 Operating Cost (Sizing)</t>
  </si>
  <si>
    <t>2025 Ridership (Sizing)</t>
  </si>
  <si>
    <t>2025 Revenue Hours (Sizing)</t>
  </si>
  <si>
    <t>2025 Revenue Miles (Sizing)</t>
  </si>
  <si>
    <t>Sizing Metrics Hybrid Weight</t>
  </si>
  <si>
    <r>
      <t xml:space="preserve">Sizing Metrics Hybrid Weight Normalized
</t>
    </r>
    <r>
      <rPr>
        <i/>
        <sz val="10"/>
        <color theme="0"/>
        <rFont val="Segoe UI"/>
        <family val="2"/>
      </rPr>
      <t xml:space="preserve"> (a) </t>
    </r>
  </si>
  <si>
    <r>
      <t>Trend Factor Relative to Statewide Trend</t>
    </r>
    <r>
      <rPr>
        <i/>
        <sz val="10"/>
        <color theme="0"/>
        <rFont val="Segoe UI"/>
        <family val="2"/>
      </rPr>
      <t xml:space="preserve"> (b)</t>
    </r>
  </si>
  <si>
    <r>
      <t xml:space="preserve">Size-Performance Weight
</t>
    </r>
    <r>
      <rPr>
        <i/>
        <sz val="10"/>
        <color theme="0"/>
        <rFont val="Segoe UI"/>
        <family val="2"/>
      </rPr>
      <t>(a)  * (b)</t>
    </r>
  </si>
  <si>
    <t xml:space="preserve">Normalized Size-Performance Weight 
</t>
  </si>
  <si>
    <r>
      <t xml:space="preserve">Trend Factor Relative to Statewide Trend </t>
    </r>
    <r>
      <rPr>
        <i/>
        <sz val="10"/>
        <color theme="0"/>
        <rFont val="Segoe UI"/>
        <family val="2"/>
      </rPr>
      <t>(c)</t>
    </r>
    <r>
      <rPr>
        <sz val="10"/>
        <color theme="0"/>
        <rFont val="Segoe UI"/>
        <family val="2"/>
      </rPr>
      <t xml:space="preserve">
</t>
    </r>
  </si>
  <si>
    <r>
      <t xml:space="preserve">Size-Performance Weight 
 </t>
    </r>
    <r>
      <rPr>
        <i/>
        <sz val="10"/>
        <color theme="0"/>
        <rFont val="Segoe UI"/>
        <family val="2"/>
      </rPr>
      <t>(a) * (c)</t>
    </r>
  </si>
  <si>
    <r>
      <t xml:space="preserve">Trend Factor Relative to Statewide Trend </t>
    </r>
    <r>
      <rPr>
        <i/>
        <sz val="10"/>
        <color theme="0"/>
        <rFont val="Segoe UI"/>
        <family val="2"/>
      </rPr>
      <t>(e)</t>
    </r>
    <r>
      <rPr>
        <sz val="10"/>
        <color theme="0"/>
        <rFont val="Segoe UI"/>
        <family val="2"/>
      </rPr>
      <t xml:space="preserve">
</t>
    </r>
  </si>
  <si>
    <r>
      <t>Size-Performance Weight</t>
    </r>
    <r>
      <rPr>
        <i/>
        <sz val="10"/>
        <color theme="0"/>
        <rFont val="Segoe UI"/>
        <family val="2"/>
      </rPr>
      <t xml:space="preserve"> 
(a) * (1/e)</t>
    </r>
  </si>
  <si>
    <r>
      <t xml:space="preserve">Trend Factor Relative to Statewide Trend </t>
    </r>
    <r>
      <rPr>
        <i/>
        <sz val="10"/>
        <color theme="0"/>
        <rFont val="Segoe UI"/>
        <family val="2"/>
      </rPr>
      <t>(f)</t>
    </r>
    <r>
      <rPr>
        <sz val="10"/>
        <color theme="0"/>
        <rFont val="Segoe UI"/>
        <family val="2"/>
      </rPr>
      <t xml:space="preserve">
</t>
    </r>
  </si>
  <si>
    <r>
      <t>Size-Performance Weight</t>
    </r>
    <r>
      <rPr>
        <i/>
        <sz val="10"/>
        <color theme="0"/>
        <rFont val="Segoe UI"/>
        <family val="2"/>
      </rPr>
      <t xml:space="preserve"> 
(a) * (1/f)</t>
    </r>
  </si>
  <si>
    <r>
      <t xml:space="preserve">Trend Factor Relative to Statewide Trend </t>
    </r>
    <r>
      <rPr>
        <i/>
        <sz val="10"/>
        <color theme="0"/>
        <rFont val="Segoe UI"/>
        <family val="2"/>
      </rPr>
      <t>(g)</t>
    </r>
    <r>
      <rPr>
        <sz val="10"/>
        <color theme="0"/>
        <rFont val="Segoe UI"/>
        <family val="2"/>
      </rPr>
      <t xml:space="preserve">
</t>
    </r>
  </si>
  <si>
    <r>
      <t>Size-Performance Weight</t>
    </r>
    <r>
      <rPr>
        <i/>
        <sz val="10"/>
        <color theme="0"/>
        <rFont val="Segoe UI"/>
        <family val="2"/>
      </rPr>
      <t xml:space="preserve"> 
(a) * (1/g)</t>
    </r>
  </si>
  <si>
    <t>PM1 - Weighted</t>
  </si>
  <si>
    <t>PM2 - Weighted</t>
  </si>
  <si>
    <t>PM3 - Weighted</t>
  </si>
  <si>
    <t>PM4 - Weighted</t>
  </si>
  <si>
    <t>PM5 - Weighted</t>
  </si>
  <si>
    <t>PM1 - Weighted * Available Assistance</t>
  </si>
  <si>
    <t>PM2 - Weighted * Available Assistance</t>
  </si>
  <si>
    <t>PM3 - Weighted * Available Assistance</t>
  </si>
  <si>
    <t>PM4 - Weighted * Available Assistance</t>
  </si>
  <si>
    <t>PM5 - Weighted * Available Assistance</t>
  </si>
  <si>
    <t>Agency Initial Operating Allocation</t>
  </si>
  <si>
    <t>Agency Operating Cost</t>
  </si>
  <si>
    <t>State Operating Assistance as % of Operating Cost</t>
  </si>
  <si>
    <t>Capped Operating Assistance</t>
  </si>
  <si>
    <t>Difference from Allocation (Distributable Funds)</t>
  </si>
  <si>
    <t>Operating Assistance - For Re-Allocation Distribution 0=reached cap</t>
  </si>
  <si>
    <t>Re-Allocation Percent Share (Excluding Capped Agencies)</t>
  </si>
  <si>
    <t>Re-Allocated Funding</t>
  </si>
  <si>
    <t xml:space="preserve">Operating Allocation - After Re-allocation Round 1 </t>
  </si>
  <si>
    <t>Allocation as a Percetages of Agency Operating Cost (Cap Check)</t>
  </si>
  <si>
    <t>Cap Check for Re-Allocation (Ensures re-allocation is not greater than cap)</t>
  </si>
  <si>
    <t>Operating Allocation - After Re-allocation Round 2</t>
  </si>
  <si>
    <t>Allocation as a Percentage of Agency Operating Cost (Cap Check)</t>
  </si>
  <si>
    <t>Cap Check for 2nd  Re-Allocation (Ensures re-allocation is not greater than cap)</t>
  </si>
  <si>
    <t>Maximimum Allocation (30% for all agencies)</t>
  </si>
  <si>
    <t>Amount Over 30%</t>
  </si>
  <si>
    <t>Final Total Operating Assistance Allocation</t>
  </si>
  <si>
    <t>Final - Allocation as a Percentage of Agency Operating Cost (Cap Check)</t>
  </si>
  <si>
    <t>FY2026 Allocation</t>
  </si>
  <si>
    <t>Change in Agency Allocation FY26-27</t>
  </si>
  <si>
    <t>Factor 1: Change in allocation relative to overall MERIT</t>
  </si>
  <si>
    <t>Change in Ridership FY24-25</t>
  </si>
  <si>
    <t>Factor 2: Change in allocation relative to Service Levels (ridership as proxy)</t>
  </si>
  <si>
    <t>Amount needed to bring MERIT allocation to prior year level</t>
  </si>
  <si>
    <t>s</t>
  </si>
  <si>
    <t>Statewide Total</t>
  </si>
  <si>
    <t>STABILITY FUND NEED</t>
  </si>
  <si>
    <t>FY25 MERIT - Operating Assistance Allocation Calculations (Operating Formula)</t>
  </si>
  <si>
    <t xml:space="preserve">FY24/FY25 Allocation Fix </t>
  </si>
  <si>
    <t>link to revenue page, operating funds available</t>
  </si>
  <si>
    <t>2024 Agency Data used for Size-Weight Hybrid</t>
  </si>
  <si>
    <t>FY2021, 2022, 2023, 2024 Agency Data used for Size-Weight Hybrid</t>
  </si>
  <si>
    <t>2024 Operating Cost (Sizing)</t>
  </si>
  <si>
    <t>2024 Ridership (Sizing)</t>
  </si>
  <si>
    <t>2024 Revenue Hours (Sizing)</t>
  </si>
  <si>
    <t>2024 Revenue Miles (Sizing)</t>
  </si>
  <si>
    <t>FY24/25 Fix</t>
  </si>
  <si>
    <t>Total FY26 Allocation</t>
  </si>
  <si>
    <t>Final - Allocation as a Percentage of Agency Operating Cost (Cap Check) - After FY24/25 Fix</t>
  </si>
  <si>
    <t>FRED / Fredericksburg Regional Transit</t>
  </si>
  <si>
    <t>Blacksburg Transit</t>
  </si>
  <si>
    <t>Blackstone Area Bus</t>
  </si>
  <si>
    <t>JAUNT</t>
  </si>
  <si>
    <t>Lake Area</t>
  </si>
  <si>
    <t>RADAR</t>
  </si>
  <si>
    <t>VRT</t>
  </si>
  <si>
    <t xml:space="preserve">Commuter Rail Pool: </t>
  </si>
  <si>
    <t>DO NOT USE THESE COLUMNS IF FORMULA DOLLARS EXCEED 30% OF TOTAL OPERATING BUDGET</t>
  </si>
  <si>
    <t>FINAL FY24 OPERATING ASSISTANCE ALLOCATIONS</t>
  </si>
  <si>
    <t>2023 Agency Data used for Size-Weight Hybrid</t>
  </si>
  <si>
    <t>Fix Rounding</t>
  </si>
  <si>
    <t>Size-Weight - Percentages</t>
  </si>
  <si>
    <t>Operating Assistance Cap</t>
  </si>
  <si>
    <t>Re-Allocation of Capped Operating Assistance</t>
  </si>
  <si>
    <t>Operating Assistance Cap - 2nd Round</t>
  </si>
  <si>
    <t>Re-Allocation of Capped Operating Assistance - 2nd Round</t>
  </si>
  <si>
    <t>2023 Operating Cost (Sizing)</t>
  </si>
  <si>
    <t>2023 Ridership (Sizing)</t>
  </si>
  <si>
    <t>2023 Revenue Hours (Sizing)</t>
  </si>
  <si>
    <t>2023 Revenue Miles (Sizing)</t>
  </si>
  <si>
    <t>Agency Operating Allocation</t>
  </si>
  <si>
    <t>Performance Allocation + Re Allocation</t>
  </si>
  <si>
    <t>% Check</t>
  </si>
  <si>
    <t>Loudoun County</t>
  </si>
  <si>
    <t>NVTC - VRE</t>
  </si>
  <si>
    <t>FY25 Op Cost Sizing</t>
  </si>
  <si>
    <t>Note: This is Total Expenses for Performance</t>
  </si>
  <si>
    <t>Operating Cost Performance</t>
  </si>
  <si>
    <t>Variance Notes</t>
  </si>
  <si>
    <t>does not include rural</t>
  </si>
  <si>
    <t>County of Roanoke</t>
  </si>
  <si>
    <t>N/A - Grantee did not apply for FY2027 operating assistance.</t>
  </si>
  <si>
    <t>Not eligible for rural funding - urban only</t>
  </si>
  <si>
    <t>Allowable Transit expenses in prior years were not properly classified on the G/L for reimbursement</t>
  </si>
  <si>
    <t>Finalized in WebGrants</t>
  </si>
  <si>
    <t>Verified to wps, not Symphony</t>
  </si>
  <si>
    <t>Verified to wps, not WebGrants</t>
  </si>
  <si>
    <t>Commuter Rail / State Total:</t>
  </si>
  <si>
    <t>Commuter Rail Rev Weight</t>
  </si>
  <si>
    <t>Factor Weight:</t>
  </si>
  <si>
    <t>Factor:</t>
  </si>
  <si>
    <t>FY 2023</t>
  </si>
  <si>
    <t>Passenger Miles Traveled (Synthesized)</t>
  </si>
  <si>
    <t>Revenue Hours (Sizing)</t>
  </si>
  <si>
    <t>Revenue Miles (Sizing)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</si>
</sst>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_);\(#,##0\);&quot;-  &quot;;&quot; &quot;@"/>
    <numFmt numFmtId="167" formatCode="_(* #,##0.0000_);_(* \(#,##0.0000\);_(* &quot;-&quot;????_);_(@_)"/>
    <numFmt numFmtId="168" formatCode="_(* #,##0.00000_);_(* \(#,##0.00000\);_(* &quot;-&quot;??_);_(@_)"/>
    <numFmt numFmtId="169" formatCode="0.0000"/>
    <numFmt numFmtId="170" formatCode="_(* #,##0.0000_);_(* \(#,##0.0000\);_(* &quot;-&quot;??_);_(@_)"/>
    <numFmt numFmtId="171" formatCode="0.0000%"/>
    <numFmt numFmtId="172" formatCode="0.0"/>
  </numFmts>
  <fonts count="12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"/>
      <name val="Arial MT"/>
    </font>
    <font>
      <sz val="12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Segoe UI"/>
      <family val="2"/>
    </font>
    <font>
      <sz val="10"/>
      <color indexed="12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 tint="0.499984740745262"/>
      <name val="Segoe UI"/>
      <family val="2"/>
    </font>
    <font>
      <sz val="10"/>
      <color theme="0"/>
      <name val="Segoe UI"/>
      <family val="2"/>
    </font>
    <font>
      <b/>
      <i/>
      <sz val="10"/>
      <color theme="1"/>
      <name val="Segoe UI"/>
      <family val="2"/>
    </font>
    <font>
      <b/>
      <sz val="10"/>
      <color theme="0"/>
      <name val="Segoe UI"/>
      <family val="2"/>
    </font>
    <font>
      <b/>
      <sz val="10"/>
      <color indexed="12"/>
      <name val="Segoe UI"/>
      <family val="2"/>
    </font>
    <font>
      <i/>
      <sz val="10"/>
      <color theme="0"/>
      <name val="Segoe UI"/>
      <family val="2"/>
    </font>
    <font>
      <sz val="10"/>
      <color theme="0" tint="-0.34998626667073579"/>
      <name val="Segoe UI"/>
      <family val="2"/>
    </font>
    <font>
      <sz val="10"/>
      <color theme="3"/>
      <name val="Segoe UI"/>
      <family val="2"/>
    </font>
    <font>
      <b/>
      <sz val="10"/>
      <color rgb="FFC00000"/>
      <name val="Segoe UI"/>
      <family val="2"/>
    </font>
    <font>
      <sz val="10"/>
      <name val="Arial"/>
      <family val="2"/>
    </font>
    <font>
      <sz val="10"/>
      <color theme="1" tint="0.14999847407452621"/>
      <name val="Segoe UI"/>
      <family val="2"/>
    </font>
    <font>
      <b/>
      <sz val="10"/>
      <color theme="1" tint="0.499984740745262"/>
      <name val="Segoe UI"/>
      <family val="2"/>
    </font>
    <font>
      <b/>
      <sz val="10"/>
      <color theme="1" tint="0.14999847407452621"/>
      <name val="Segoe UI"/>
      <family val="2"/>
    </font>
    <font>
      <b/>
      <sz val="11"/>
      <name val="Segoe UI"/>
      <family val="2"/>
    </font>
    <font>
      <sz val="11"/>
      <color theme="1"/>
      <name val="Segoe UI"/>
      <family val="2"/>
    </font>
    <font>
      <sz val="11"/>
      <name val="Segoe UI"/>
      <family val="2"/>
    </font>
    <font>
      <sz val="11"/>
      <color indexed="12"/>
      <name val="Segoe UI"/>
      <family val="2"/>
    </font>
    <font>
      <b/>
      <sz val="11"/>
      <color theme="1"/>
      <name val="Segoe UI"/>
      <family val="2"/>
    </font>
    <font>
      <sz val="11"/>
      <color theme="1" tint="0.499984740745262"/>
      <name val="Segoe UI"/>
      <family val="2"/>
    </font>
    <font>
      <b/>
      <sz val="10"/>
      <color theme="5"/>
      <name val="Segoe UI"/>
      <family val="2"/>
    </font>
    <font>
      <b/>
      <sz val="14"/>
      <name val="Segoe UI"/>
      <family val="2"/>
    </font>
    <font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sz val="10"/>
      <color theme="0" tint="-0.499984740745262"/>
      <name val="Segoe U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theme="0" tint="-0.499984740745262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Arial"/>
      <family val="2"/>
    </font>
    <font>
      <b/>
      <sz val="10"/>
      <color theme="3"/>
      <name val="Segoe UI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theme="1" tint="0.499984740745262"/>
      <name val="Arial"/>
      <family val="2"/>
    </font>
    <font>
      <b/>
      <i/>
      <sz val="10"/>
      <name val="Segoe UI"/>
      <family val="2"/>
    </font>
    <font>
      <sz val="10"/>
      <color rgb="FFFF0000"/>
      <name val="Segoe UI"/>
      <family val="2"/>
    </font>
    <font>
      <b/>
      <sz val="10"/>
      <color theme="9" tint="-0.249977111117893"/>
      <name val="Segoe UI"/>
      <family val="2"/>
    </font>
    <font>
      <b/>
      <i/>
      <u/>
      <sz val="10"/>
      <name val="Segoe UI"/>
      <family val="2"/>
    </font>
    <font>
      <i/>
      <sz val="10"/>
      <name val="Segoe UI"/>
      <family val="2"/>
    </font>
    <font>
      <b/>
      <sz val="12"/>
      <color theme="5"/>
      <name val="Segoe UI"/>
      <family val="2"/>
    </font>
    <font>
      <b/>
      <sz val="11"/>
      <color theme="0"/>
      <name val="Segoe UI"/>
      <family val="2"/>
    </font>
    <font>
      <b/>
      <sz val="11"/>
      <color theme="5"/>
      <name val="Segoe UI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sz val="10"/>
      <color rgb="FFFFFFCC"/>
      <name val="Arial"/>
      <family val="2"/>
    </font>
    <font>
      <sz val="10"/>
      <color rgb="FFC00000"/>
      <name val="Segoe UI"/>
      <family val="2"/>
    </font>
    <font>
      <sz val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theme="7"/>
      </patternFill>
    </fill>
    <fill>
      <patternFill patternType="solid">
        <fgColor rgb="FFFDE9D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rgb="FF156082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11"/>
        <bgColor indexed="64"/>
      </patternFill>
    </fill>
  </fills>
  <borders count="1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 tint="-0.24994659260841701"/>
      </top>
      <bottom style="medium">
        <color theme="0"/>
      </bottom>
      <diagonal/>
    </border>
    <border>
      <left/>
      <right style="medium">
        <color theme="0"/>
      </right>
      <top style="medium">
        <color theme="0" tint="-0.24994659260841701"/>
      </top>
      <bottom style="medium">
        <color theme="0"/>
      </bottom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 tint="-0.499984740745262"/>
      </bottom>
      <diagonal/>
    </border>
    <border>
      <left style="thin">
        <color theme="0"/>
      </left>
      <right/>
      <top style="medium">
        <color theme="0"/>
      </top>
      <bottom style="medium">
        <color theme="0" tint="-0.499984740745262"/>
      </bottom>
      <diagonal/>
    </border>
    <border>
      <left/>
      <right style="thin">
        <color theme="0"/>
      </right>
      <top style="medium">
        <color theme="0"/>
      </top>
      <bottom style="medium">
        <color theme="0" tint="-0.499984740745262"/>
      </bottom>
      <diagonal/>
    </border>
    <border>
      <left style="medium">
        <color theme="0"/>
      </left>
      <right/>
      <top style="medium">
        <color theme="0" tint="-0.24994659260841701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medium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77111117893"/>
      </top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/>
      </left>
      <right/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medium">
        <color theme="0" tint="-0.249977111117893"/>
      </bottom>
      <diagonal/>
    </border>
    <border>
      <left style="thin">
        <color theme="0"/>
      </left>
      <right/>
      <top/>
      <bottom style="medium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 style="medium">
        <color theme="0"/>
      </left>
      <right style="medium">
        <color theme="0"/>
      </right>
      <top style="medium">
        <color theme="0" tint="-0.24994659260841701"/>
      </top>
      <bottom/>
      <diagonal/>
    </border>
    <border>
      <left style="medium">
        <color theme="0"/>
      </left>
      <right/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6">
    <xf numFmtId="0" fontId="0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5" borderId="0" applyNumberFormat="0" applyBorder="0" applyAlignment="0" applyProtection="0"/>
    <xf numFmtId="0" fontId="42" fillId="8" borderId="0" applyNumberFormat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44" fillId="3" borderId="0" applyNumberFormat="0" applyBorder="0" applyAlignment="0" applyProtection="0"/>
    <xf numFmtId="0" fontId="45" fillId="20" borderId="1" applyNumberFormat="0" applyAlignment="0" applyProtection="0"/>
    <xf numFmtId="0" fontId="46" fillId="21" borderId="2" applyNumberFormat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0" borderId="3" applyNumberFormat="0" applyFill="0" applyAlignment="0" applyProtection="0"/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51" fillId="0" borderId="0" applyNumberFormat="0" applyFill="0" applyBorder="0" applyAlignment="0" applyProtection="0"/>
    <xf numFmtId="0" fontId="52" fillId="7" borderId="1" applyNumberFormat="0" applyAlignment="0" applyProtection="0"/>
    <xf numFmtId="0" fontId="53" fillId="0" borderId="6" applyNumberFormat="0" applyFill="0" applyAlignment="0" applyProtection="0"/>
    <xf numFmtId="0" fontId="54" fillId="22" borderId="0" applyNumberFormat="0" applyBorder="0" applyAlignment="0" applyProtection="0"/>
    <xf numFmtId="0" fontId="55" fillId="0" borderId="0"/>
    <xf numFmtId="0" fontId="41" fillId="23" borderId="7" applyNumberFormat="0" applyFont="0" applyAlignment="0" applyProtection="0"/>
    <xf numFmtId="0" fontId="56" fillId="20" borderId="8" applyNumberFormat="0" applyAlignment="0" applyProtection="0"/>
    <xf numFmtId="0" fontId="57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39" fillId="0" borderId="0"/>
    <xf numFmtId="0" fontId="38" fillId="0" borderId="0"/>
    <xf numFmtId="43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1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37" fillId="0" borderId="0"/>
    <xf numFmtId="44" fontId="37" fillId="0" borderId="0" applyFont="0" applyFill="0" applyBorder="0" applyAlignment="0" applyProtection="0"/>
    <xf numFmtId="0" fontId="41" fillId="0" borderId="0"/>
    <xf numFmtId="0" fontId="64" fillId="0" borderId="0"/>
    <xf numFmtId="43" fontId="64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36" fillId="0" borderId="0"/>
    <xf numFmtId="43" fontId="41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5" fillId="0" borderId="0"/>
    <xf numFmtId="0" fontId="41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4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4" fillId="0" borderId="0" applyFont="0" applyFill="0" applyBorder="0" applyAlignment="0" applyProtection="0"/>
    <xf numFmtId="166" fontId="60" fillId="0" borderId="0" applyFont="0" applyFill="0" applyBorder="0" applyAlignment="0" applyProtection="0"/>
    <xf numFmtId="43" fontId="64" fillId="0" borderId="0" applyFont="0" applyFill="0" applyBorder="0" applyAlignment="0" applyProtection="0"/>
    <xf numFmtId="44" fontId="3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32" fillId="0" borderId="0"/>
    <xf numFmtId="9" fontId="41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31" fillId="0" borderId="0"/>
    <xf numFmtId="0" fontId="45" fillId="20" borderId="11" applyNumberFormat="0" applyAlignment="0" applyProtection="0"/>
    <xf numFmtId="0" fontId="52" fillId="7" borderId="11" applyNumberFormat="0" applyAlignment="0" applyProtection="0"/>
    <xf numFmtId="0" fontId="41" fillId="23" borderId="12" applyNumberFormat="0" applyFont="0" applyAlignment="0" applyProtection="0"/>
    <xf numFmtId="0" fontId="56" fillId="20" borderId="13" applyNumberFormat="0" applyAlignment="0" applyProtection="0"/>
    <xf numFmtId="0" fontId="58" fillId="0" borderId="14" applyNumberFormat="0" applyFill="0" applyAlignment="0" applyProtection="0"/>
    <xf numFmtId="0" fontId="30" fillId="0" borderId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66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4" fontId="41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44" fontId="24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0" fontId="45" fillId="20" borderId="15" applyNumberFormat="0" applyAlignment="0" applyProtection="0"/>
    <xf numFmtId="0" fontId="52" fillId="7" borderId="15" applyNumberFormat="0" applyAlignment="0" applyProtection="0"/>
    <xf numFmtId="0" fontId="41" fillId="23" borderId="16" applyNumberFormat="0" applyFont="0" applyAlignment="0" applyProtection="0"/>
    <xf numFmtId="0" fontId="56" fillId="20" borderId="17" applyNumberFormat="0" applyAlignment="0" applyProtection="0"/>
    <xf numFmtId="0" fontId="58" fillId="0" borderId="18" applyNumberFormat="0" applyFill="0" applyAlignment="0" applyProtection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67" fillId="0" borderId="0"/>
    <xf numFmtId="43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0" fontId="69" fillId="0" borderId="0"/>
    <xf numFmtId="43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5" borderId="0" applyNumberFormat="0" applyBorder="0" applyAlignment="0" applyProtection="0"/>
    <xf numFmtId="0" fontId="42" fillId="8" borderId="0" applyNumberFormat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44" fillId="3" borderId="0" applyNumberFormat="0" applyBorder="0" applyAlignment="0" applyProtection="0"/>
    <xf numFmtId="0" fontId="45" fillId="20" borderId="19" applyNumberFormat="0" applyAlignment="0" applyProtection="0"/>
    <xf numFmtId="0" fontId="46" fillId="21" borderId="2" applyNumberFormat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0" borderId="3" applyNumberFormat="0" applyFill="0" applyAlignment="0" applyProtection="0"/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51" fillId="0" borderId="0" applyNumberFormat="0" applyFill="0" applyBorder="0" applyAlignment="0" applyProtection="0"/>
    <xf numFmtId="0" fontId="52" fillId="7" borderId="19" applyNumberFormat="0" applyAlignment="0" applyProtection="0"/>
    <xf numFmtId="0" fontId="53" fillId="0" borderId="6" applyNumberFormat="0" applyFill="0" applyAlignment="0" applyProtection="0"/>
    <xf numFmtId="0" fontId="54" fillId="22" borderId="0" applyNumberFormat="0" applyBorder="0" applyAlignment="0" applyProtection="0"/>
    <xf numFmtId="0" fontId="41" fillId="23" borderId="7" applyNumberFormat="0" applyFont="0" applyAlignment="0" applyProtection="0"/>
    <xf numFmtId="0" fontId="56" fillId="20" borderId="20" applyNumberFormat="0" applyAlignment="0" applyProtection="0"/>
    <xf numFmtId="0" fontId="57" fillId="0" borderId="0" applyNumberFormat="0" applyFill="0" applyBorder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58" fillId="0" borderId="21" applyNumberFormat="0" applyFill="0" applyAlignment="0" applyProtection="0"/>
    <xf numFmtId="0" fontId="56" fillId="20" borderId="20" applyNumberFormat="0" applyAlignment="0" applyProtection="0"/>
    <xf numFmtId="0" fontId="52" fillId="7" borderId="19" applyNumberFormat="0" applyAlignment="0" applyProtection="0"/>
    <xf numFmtId="0" fontId="45" fillId="20" borderId="19" applyNumberFormat="0" applyAlignment="0" applyProtection="0"/>
    <xf numFmtId="0" fontId="41" fillId="0" borderId="0"/>
    <xf numFmtId="0" fontId="45" fillId="20" borderId="15" applyNumberFormat="0" applyAlignment="0" applyProtection="0"/>
    <xf numFmtId="0" fontId="52" fillId="7" borderId="15" applyNumberFormat="0" applyAlignment="0" applyProtection="0"/>
    <xf numFmtId="0" fontId="56" fillId="20" borderId="17" applyNumberFormat="0" applyAlignment="0" applyProtection="0"/>
    <xf numFmtId="0" fontId="58" fillId="0" borderId="18" applyNumberFormat="0" applyFill="0" applyAlignment="0" applyProtection="0"/>
    <xf numFmtId="0" fontId="13" fillId="0" borderId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45" fillId="20" borderId="15" applyNumberFormat="0" applyAlignment="0" applyProtection="0"/>
    <xf numFmtId="0" fontId="45" fillId="20" borderId="15" applyNumberFormat="0" applyAlignment="0" applyProtection="0"/>
    <xf numFmtId="0" fontId="45" fillId="20" borderId="15" applyNumberFormat="0" applyAlignment="0" applyProtection="0"/>
    <xf numFmtId="0" fontId="45" fillId="20" borderId="15" applyNumberFormat="0" applyAlignment="0" applyProtection="0"/>
    <xf numFmtId="0" fontId="45" fillId="20" borderId="15" applyNumberFormat="0" applyAlignment="0" applyProtection="0"/>
    <xf numFmtId="0" fontId="45" fillId="20" borderId="15" applyNumberFormat="0" applyAlignment="0" applyProtection="0"/>
    <xf numFmtId="0" fontId="45" fillId="20" borderId="15" applyNumberFormat="0" applyAlignment="0" applyProtection="0"/>
    <xf numFmtId="0" fontId="45" fillId="20" borderId="15" applyNumberFormat="0" applyAlignment="0" applyProtection="0"/>
    <xf numFmtId="0" fontId="45" fillId="20" borderId="15" applyNumberFormat="0" applyAlignment="0" applyProtection="0"/>
    <xf numFmtId="0" fontId="45" fillId="20" borderId="15" applyNumberFormat="0" applyAlignment="0" applyProtection="0"/>
    <xf numFmtId="0" fontId="45" fillId="20" borderId="1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64" fillId="0" borderId="0" applyFont="0" applyFill="0" applyBorder="0" applyAlignment="0" applyProtection="0"/>
    <xf numFmtId="0" fontId="52" fillId="7" borderId="15" applyNumberFormat="0" applyAlignment="0" applyProtection="0"/>
    <xf numFmtId="0" fontId="52" fillId="7" borderId="15" applyNumberFormat="0" applyAlignment="0" applyProtection="0"/>
    <xf numFmtId="0" fontId="52" fillId="7" borderId="15" applyNumberFormat="0" applyAlignment="0" applyProtection="0"/>
    <xf numFmtId="0" fontId="52" fillId="7" borderId="15" applyNumberFormat="0" applyAlignment="0" applyProtection="0"/>
    <xf numFmtId="0" fontId="52" fillId="7" borderId="15" applyNumberFormat="0" applyAlignment="0" applyProtection="0"/>
    <xf numFmtId="0" fontId="52" fillId="7" borderId="15" applyNumberFormat="0" applyAlignment="0" applyProtection="0"/>
    <xf numFmtId="0" fontId="52" fillId="7" borderId="15" applyNumberFormat="0" applyAlignment="0" applyProtection="0"/>
    <xf numFmtId="0" fontId="52" fillId="7" borderId="15" applyNumberFormat="0" applyAlignment="0" applyProtection="0"/>
    <xf numFmtId="0" fontId="52" fillId="7" borderId="15" applyNumberFormat="0" applyAlignment="0" applyProtection="0"/>
    <xf numFmtId="0" fontId="52" fillId="7" borderId="15" applyNumberFormat="0" applyAlignment="0" applyProtection="0"/>
    <xf numFmtId="0" fontId="52" fillId="7" borderId="15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4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1" fillId="0" borderId="0"/>
    <xf numFmtId="0" fontId="4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1" fillId="23" borderId="16" applyNumberFormat="0" applyFont="0" applyAlignment="0" applyProtection="0"/>
    <xf numFmtId="0" fontId="41" fillId="23" borderId="16" applyNumberFormat="0" applyFont="0" applyAlignment="0" applyProtection="0"/>
    <xf numFmtId="0" fontId="41" fillId="23" borderId="16" applyNumberFormat="0" applyFont="0" applyAlignment="0" applyProtection="0"/>
    <xf numFmtId="0" fontId="41" fillId="23" borderId="16" applyNumberFormat="0" applyFont="0" applyAlignment="0" applyProtection="0"/>
    <xf numFmtId="0" fontId="41" fillId="23" borderId="16" applyNumberFormat="0" applyFont="0" applyAlignment="0" applyProtection="0"/>
    <xf numFmtId="0" fontId="41" fillId="23" borderId="16" applyNumberFormat="0" applyFont="0" applyAlignment="0" applyProtection="0"/>
    <xf numFmtId="0" fontId="41" fillId="23" borderId="16" applyNumberFormat="0" applyFont="0" applyAlignment="0" applyProtection="0"/>
    <xf numFmtId="0" fontId="41" fillId="23" borderId="16" applyNumberFormat="0" applyFont="0" applyAlignment="0" applyProtection="0"/>
    <xf numFmtId="0" fontId="41" fillId="23" borderId="16" applyNumberFormat="0" applyFont="0" applyAlignment="0" applyProtection="0"/>
    <xf numFmtId="0" fontId="41" fillId="23" borderId="16" applyNumberFormat="0" applyFont="0" applyAlignment="0" applyProtection="0"/>
    <xf numFmtId="0" fontId="41" fillId="23" borderId="16" applyNumberFormat="0" applyFont="0" applyAlignment="0" applyProtection="0"/>
    <xf numFmtId="0" fontId="41" fillId="23" borderId="16" applyNumberFormat="0" applyFont="0" applyAlignment="0" applyProtection="0"/>
    <xf numFmtId="0" fontId="56" fillId="20" borderId="17" applyNumberFormat="0" applyAlignment="0" applyProtection="0"/>
    <xf numFmtId="0" fontId="56" fillId="20" borderId="17" applyNumberFormat="0" applyAlignment="0" applyProtection="0"/>
    <xf numFmtId="0" fontId="56" fillId="20" borderId="17" applyNumberFormat="0" applyAlignment="0" applyProtection="0"/>
    <xf numFmtId="0" fontId="56" fillId="20" borderId="17" applyNumberFormat="0" applyAlignment="0" applyProtection="0"/>
    <xf numFmtId="0" fontId="56" fillId="20" borderId="17" applyNumberFormat="0" applyAlignment="0" applyProtection="0"/>
    <xf numFmtId="0" fontId="56" fillId="20" borderId="17" applyNumberFormat="0" applyAlignment="0" applyProtection="0"/>
    <xf numFmtId="0" fontId="56" fillId="20" borderId="17" applyNumberFormat="0" applyAlignment="0" applyProtection="0"/>
    <xf numFmtId="0" fontId="56" fillId="20" borderId="17" applyNumberFormat="0" applyAlignment="0" applyProtection="0"/>
    <xf numFmtId="0" fontId="56" fillId="20" borderId="17" applyNumberFormat="0" applyAlignment="0" applyProtection="0"/>
    <xf numFmtId="0" fontId="56" fillId="20" borderId="17" applyNumberFormat="0" applyAlignment="0" applyProtection="0"/>
    <xf numFmtId="0" fontId="56" fillId="20" borderId="17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1" fillId="26" borderId="0" applyAlignment="0" applyProtection="0">
      <alignment horizontal="center"/>
    </xf>
    <xf numFmtId="0" fontId="61" fillId="26" borderId="0" applyAlignment="0" applyProtection="0">
      <alignment horizontal="center"/>
    </xf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41" fillId="0" borderId="0"/>
    <xf numFmtId="0" fontId="51" fillId="0" borderId="5" applyNumberFormat="0" applyFill="0" applyAlignment="0" applyProtection="0"/>
    <xf numFmtId="0" fontId="41" fillId="23" borderId="22" applyNumberFormat="0" applyFont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67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5" fillId="20" borderId="26" applyNumberFormat="0" applyAlignment="0" applyProtection="0"/>
    <xf numFmtId="0" fontId="52" fillId="7" borderId="26" applyNumberFormat="0" applyAlignment="0" applyProtection="0"/>
    <xf numFmtId="0" fontId="41" fillId="23" borderId="27" applyNumberFormat="0" applyFont="0" applyAlignment="0" applyProtection="0"/>
    <xf numFmtId="0" fontId="56" fillId="20" borderId="28" applyNumberFormat="0" applyAlignment="0" applyProtection="0"/>
    <xf numFmtId="0" fontId="58" fillId="0" borderId="29" applyNumberFormat="0" applyFill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4" fillId="0" borderId="0" applyFont="0" applyFill="0" applyBorder="0" applyAlignment="0" applyProtection="0"/>
    <xf numFmtId="44" fontId="9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95">
    <xf numFmtId="0" fontId="0" fillId="0" borderId="0" xfId="0"/>
    <xf numFmtId="0" fontId="73" fillId="0" borderId="0" xfId="433" applyFont="1"/>
    <xf numFmtId="168" fontId="73" fillId="0" borderId="0" xfId="76" applyNumberFormat="1" applyFont="1"/>
    <xf numFmtId="0" fontId="70" fillId="0" borderId="0" xfId="433" applyFont="1"/>
    <xf numFmtId="0" fontId="71" fillId="0" borderId="0" xfId="433" applyFont="1"/>
    <xf numFmtId="6" fontId="73" fillId="0" borderId="0" xfId="433" applyNumberFormat="1" applyFont="1"/>
    <xf numFmtId="0" fontId="73" fillId="0" borderId="0" xfId="433" applyFont="1" applyAlignment="1">
      <alignment horizontal="left"/>
    </xf>
    <xf numFmtId="0" fontId="72" fillId="0" borderId="0" xfId="433" applyFont="1" applyAlignment="1">
      <alignment horizontal="right"/>
    </xf>
    <xf numFmtId="43" fontId="71" fillId="0" borderId="0" xfId="76" applyFont="1" applyFill="1" applyBorder="1"/>
    <xf numFmtId="168" fontId="73" fillId="0" borderId="0" xfId="76" applyNumberFormat="1" applyFont="1" applyFill="1" applyBorder="1" applyAlignment="1">
      <alignment horizontal="left"/>
    </xf>
    <xf numFmtId="9" fontId="73" fillId="0" borderId="0" xfId="433" applyNumberFormat="1" applyFont="1"/>
    <xf numFmtId="2" fontId="73" fillId="0" borderId="0" xfId="433" applyNumberFormat="1" applyFont="1"/>
    <xf numFmtId="9" fontId="72" fillId="0" borderId="0" xfId="434" applyFont="1" applyFill="1" applyBorder="1" applyAlignment="1">
      <alignment horizontal="right"/>
    </xf>
    <xf numFmtId="0" fontId="76" fillId="0" borderId="0" xfId="433" applyFont="1" applyAlignment="1">
      <alignment vertical="top"/>
    </xf>
    <xf numFmtId="0" fontId="77" fillId="0" borderId="0" xfId="433" applyFont="1" applyAlignment="1">
      <alignment horizontal="left"/>
    </xf>
    <xf numFmtId="6" fontId="70" fillId="0" borderId="0" xfId="433" applyNumberFormat="1" applyFont="1" applyAlignment="1">
      <alignment vertical="top"/>
    </xf>
    <xf numFmtId="0" fontId="71" fillId="0" borderId="0" xfId="433" applyFont="1" applyAlignment="1">
      <alignment vertical="top"/>
    </xf>
    <xf numFmtId="0" fontId="70" fillId="0" borderId="0" xfId="433" applyFont="1" applyAlignment="1">
      <alignment vertical="top"/>
    </xf>
    <xf numFmtId="0" fontId="72" fillId="0" borderId="0" xfId="433" applyFont="1"/>
    <xf numFmtId="0" fontId="70" fillId="0" borderId="0" xfId="431" applyFont="1"/>
    <xf numFmtId="6" fontId="70" fillId="0" borderId="0" xfId="431" applyNumberFormat="1" applyFont="1" applyAlignment="1">
      <alignment horizontal="right"/>
    </xf>
    <xf numFmtId="165" fontId="70" fillId="0" borderId="0" xfId="432" applyNumberFormat="1" applyFont="1" applyFill="1" applyAlignment="1">
      <alignment horizontal="right"/>
    </xf>
    <xf numFmtId="0" fontId="70" fillId="0" borderId="0" xfId="431" applyFont="1" applyAlignment="1">
      <alignment horizontal="right"/>
    </xf>
    <xf numFmtId="0" fontId="73" fillId="0" borderId="0" xfId="431" applyFont="1"/>
    <xf numFmtId="0" fontId="73" fillId="0" borderId="0" xfId="431" applyFont="1" applyAlignment="1">
      <alignment horizontal="right"/>
    </xf>
    <xf numFmtId="6" fontId="73" fillId="0" borderId="0" xfId="431" applyNumberFormat="1" applyFont="1" applyAlignment="1">
      <alignment horizontal="right"/>
    </xf>
    <xf numFmtId="0" fontId="74" fillId="0" borderId="0" xfId="431" applyFont="1" applyAlignment="1">
      <alignment horizontal="center"/>
    </xf>
    <xf numFmtId="165" fontId="72" fillId="0" borderId="0" xfId="72" applyNumberFormat="1" applyFont="1" applyFill="1" applyBorder="1" applyAlignment="1">
      <alignment horizontal="left"/>
    </xf>
    <xf numFmtId="0" fontId="78" fillId="32" borderId="40" xfId="433" applyFont="1" applyFill="1" applyBorder="1" applyAlignment="1">
      <alignment horizontal="centerContinuous" vertical="top"/>
    </xf>
    <xf numFmtId="0" fontId="78" fillId="32" borderId="35" xfId="433" applyFont="1" applyFill="1" applyBorder="1" applyAlignment="1">
      <alignment horizontal="centerContinuous" vertical="top"/>
    </xf>
    <xf numFmtId="0" fontId="78" fillId="32" borderId="36" xfId="433" applyFont="1" applyFill="1" applyBorder="1" applyAlignment="1">
      <alignment horizontal="centerContinuous" vertical="top"/>
    </xf>
    <xf numFmtId="0" fontId="76" fillId="32" borderId="37" xfId="433" applyFont="1" applyFill="1" applyBorder="1" applyAlignment="1">
      <alignment horizontal="centerContinuous" vertical="top"/>
    </xf>
    <xf numFmtId="0" fontId="78" fillId="32" borderId="41" xfId="433" applyFont="1" applyFill="1" applyBorder="1" applyAlignment="1">
      <alignment horizontal="center" vertical="top" wrapText="1"/>
    </xf>
    <xf numFmtId="0" fontId="78" fillId="33" borderId="41" xfId="433" applyFont="1" applyFill="1" applyBorder="1" applyAlignment="1">
      <alignment horizontal="center" vertical="top" wrapText="1"/>
    </xf>
    <xf numFmtId="0" fontId="78" fillId="34" borderId="41" xfId="433" applyFont="1" applyFill="1" applyBorder="1" applyAlignment="1">
      <alignment horizontal="center" vertical="top" wrapText="1"/>
    </xf>
    <xf numFmtId="0" fontId="78" fillId="34" borderId="42" xfId="433" applyFont="1" applyFill="1" applyBorder="1" applyAlignment="1">
      <alignment horizontal="center" vertical="top" wrapText="1"/>
    </xf>
    <xf numFmtId="0" fontId="81" fillId="0" borderId="0" xfId="433" applyFont="1" applyAlignment="1">
      <alignment vertical="top"/>
    </xf>
    <xf numFmtId="6" fontId="81" fillId="0" borderId="0" xfId="433" applyNumberFormat="1" applyFont="1" applyAlignment="1">
      <alignment vertical="top"/>
    </xf>
    <xf numFmtId="0" fontId="72" fillId="35" borderId="41" xfId="433" applyFont="1" applyFill="1" applyBorder="1" applyAlignment="1">
      <alignment horizontal="center" vertical="top" wrapText="1"/>
    </xf>
    <xf numFmtId="0" fontId="78" fillId="38" borderId="35" xfId="433" applyFont="1" applyFill="1" applyBorder="1" applyAlignment="1">
      <alignment horizontal="centerContinuous" vertical="top"/>
    </xf>
    <xf numFmtId="0" fontId="76" fillId="38" borderId="35" xfId="433" applyFont="1" applyFill="1" applyBorder="1" applyAlignment="1">
      <alignment horizontal="centerContinuous" vertical="top"/>
    </xf>
    <xf numFmtId="0" fontId="76" fillId="38" borderId="39" xfId="433" applyFont="1" applyFill="1" applyBorder="1" applyAlignment="1">
      <alignment horizontal="centerContinuous" vertical="top"/>
    </xf>
    <xf numFmtId="8" fontId="73" fillId="0" borderId="0" xfId="433" applyNumberFormat="1" applyFont="1"/>
    <xf numFmtId="171" fontId="75" fillId="0" borderId="0" xfId="433" applyNumberFormat="1" applyFont="1"/>
    <xf numFmtId="171" fontId="75" fillId="0" borderId="0" xfId="433" applyNumberFormat="1" applyFont="1" applyAlignment="1">
      <alignment horizontal="center" vertical="top"/>
    </xf>
    <xf numFmtId="171" fontId="75" fillId="0" borderId="0" xfId="433" applyNumberFormat="1" applyFont="1" applyAlignment="1">
      <alignment horizontal="center"/>
    </xf>
    <xf numFmtId="0" fontId="78" fillId="36" borderId="41" xfId="433" applyFont="1" applyFill="1" applyBorder="1" applyAlignment="1">
      <alignment horizontal="center" vertical="top" wrapText="1"/>
    </xf>
    <xf numFmtId="0" fontId="78" fillId="0" borderId="0" xfId="433" applyFont="1" applyAlignment="1">
      <alignment vertical="center"/>
    </xf>
    <xf numFmtId="0" fontId="78" fillId="36" borderId="58" xfId="433" applyFont="1" applyFill="1" applyBorder="1" applyAlignment="1">
      <alignment horizontal="center" vertical="top" wrapText="1"/>
    </xf>
    <xf numFmtId="0" fontId="78" fillId="36" borderId="50" xfId="433" applyFont="1" applyFill="1" applyBorder="1" applyAlignment="1">
      <alignment horizontal="center" vertical="top" wrapText="1"/>
    </xf>
    <xf numFmtId="0" fontId="72" fillId="35" borderId="58" xfId="433" applyFont="1" applyFill="1" applyBorder="1" applyAlignment="1">
      <alignment horizontal="center" vertical="top" wrapText="1"/>
    </xf>
    <xf numFmtId="0" fontId="72" fillId="35" borderId="50" xfId="433" applyFont="1" applyFill="1" applyBorder="1" applyAlignment="1">
      <alignment horizontal="center" vertical="top" wrapText="1"/>
    </xf>
    <xf numFmtId="44" fontId="71" fillId="0" borderId="59" xfId="436" applyFont="1" applyFill="1" applyBorder="1"/>
    <xf numFmtId="0" fontId="78" fillId="34" borderId="58" xfId="433" applyFont="1" applyFill="1" applyBorder="1" applyAlignment="1">
      <alignment horizontal="center" vertical="top" wrapText="1"/>
    </xf>
    <xf numFmtId="0" fontId="78" fillId="34" borderId="50" xfId="433" applyFont="1" applyFill="1" applyBorder="1" applyAlignment="1">
      <alignment horizontal="center" vertical="top" wrapText="1"/>
    </xf>
    <xf numFmtId="0" fontId="78" fillId="33" borderId="58" xfId="433" applyFont="1" applyFill="1" applyBorder="1" applyAlignment="1">
      <alignment horizontal="center" vertical="top" wrapText="1"/>
    </xf>
    <xf numFmtId="0" fontId="78" fillId="33" borderId="50" xfId="433" applyFont="1" applyFill="1" applyBorder="1" applyAlignment="1">
      <alignment horizontal="center" vertical="top" wrapText="1"/>
    </xf>
    <xf numFmtId="0" fontId="78" fillId="32" borderId="58" xfId="433" applyFont="1" applyFill="1" applyBorder="1" applyAlignment="1">
      <alignment horizontal="center" vertical="top" wrapText="1"/>
    </xf>
    <xf numFmtId="0" fontId="78" fillId="32" borderId="50" xfId="433" applyFont="1" applyFill="1" applyBorder="1" applyAlignment="1">
      <alignment horizontal="center" vertical="top" wrapText="1"/>
    </xf>
    <xf numFmtId="0" fontId="78" fillId="32" borderId="62" xfId="433" applyFont="1" applyFill="1" applyBorder="1" applyAlignment="1">
      <alignment horizontal="centerContinuous" vertical="top"/>
    </xf>
    <xf numFmtId="0" fontId="76" fillId="32" borderId="62" xfId="433" applyFont="1" applyFill="1" applyBorder="1" applyAlignment="1">
      <alignment horizontal="centerContinuous" vertical="top"/>
    </xf>
    <xf numFmtId="0" fontId="76" fillId="32" borderId="53" xfId="433" applyFont="1" applyFill="1" applyBorder="1" applyAlignment="1">
      <alignment horizontal="center" vertical="top" wrapText="1"/>
    </xf>
    <xf numFmtId="0" fontId="76" fillId="32" borderId="52" xfId="433" applyFont="1" applyFill="1" applyBorder="1" applyAlignment="1">
      <alignment horizontal="center" vertical="top" wrapText="1"/>
    </xf>
    <xf numFmtId="0" fontId="76" fillId="32" borderId="23" xfId="433" applyFont="1" applyFill="1" applyBorder="1" applyAlignment="1">
      <alignment horizontal="center" vertical="top" wrapText="1"/>
    </xf>
    <xf numFmtId="168" fontId="76" fillId="38" borderId="35" xfId="76" applyNumberFormat="1" applyFont="1" applyFill="1" applyBorder="1" applyAlignment="1">
      <alignment horizontal="centerContinuous" vertical="top"/>
    </xf>
    <xf numFmtId="9" fontId="78" fillId="38" borderId="62" xfId="434" applyFont="1" applyFill="1" applyBorder="1" applyAlignment="1">
      <alignment horizontal="center" vertical="top"/>
    </xf>
    <xf numFmtId="0" fontId="78" fillId="38" borderId="62" xfId="433" applyFont="1" applyFill="1" applyBorder="1" applyAlignment="1">
      <alignment horizontal="centerContinuous" vertical="top"/>
    </xf>
    <xf numFmtId="0" fontId="76" fillId="38" borderId="59" xfId="433" applyFont="1" applyFill="1" applyBorder="1" applyAlignment="1">
      <alignment horizontal="center" vertical="top" wrapText="1"/>
    </xf>
    <xf numFmtId="168" fontId="76" fillId="38" borderId="23" xfId="76" applyNumberFormat="1" applyFont="1" applyFill="1" applyBorder="1" applyAlignment="1">
      <alignment horizontal="center" vertical="top" wrapText="1"/>
    </xf>
    <xf numFmtId="0" fontId="70" fillId="0" borderId="57" xfId="433" applyFont="1" applyBorder="1" applyAlignment="1">
      <alignment horizontal="left"/>
    </xf>
    <xf numFmtId="164" fontId="71" fillId="0" borderId="59" xfId="436" applyNumberFormat="1" applyFont="1" applyBorder="1"/>
    <xf numFmtId="0" fontId="70" fillId="0" borderId="59" xfId="433" applyFont="1" applyBorder="1" applyAlignment="1">
      <alignment horizontal="left"/>
    </xf>
    <xf numFmtId="10" fontId="71" fillId="0" borderId="0" xfId="74" applyNumberFormat="1" applyFont="1" applyFill="1" applyBorder="1" applyAlignment="1">
      <alignment horizontal="center"/>
    </xf>
    <xf numFmtId="10" fontId="83" fillId="0" borderId="0" xfId="434" applyNumberFormat="1" applyFont="1" applyFill="1" applyBorder="1" applyAlignment="1">
      <alignment horizontal="center" vertical="center"/>
    </xf>
    <xf numFmtId="0" fontId="89" fillId="0" borderId="0" xfId="433" applyFont="1"/>
    <xf numFmtId="0" fontId="88" fillId="0" borderId="0" xfId="433" applyFont="1" applyAlignment="1">
      <alignment horizontal="left"/>
    </xf>
    <xf numFmtId="0" fontId="89" fillId="0" borderId="0" xfId="433" applyFont="1" applyAlignment="1">
      <alignment horizontal="center"/>
    </xf>
    <xf numFmtId="168" fontId="89" fillId="0" borderId="0" xfId="76" applyNumberFormat="1" applyFont="1"/>
    <xf numFmtId="0" fontId="90" fillId="0" borderId="0" xfId="433" applyFont="1"/>
    <xf numFmtId="0" fontId="91" fillId="0" borderId="0" xfId="433" applyFont="1"/>
    <xf numFmtId="0" fontId="92" fillId="0" borderId="0" xfId="433" applyFont="1"/>
    <xf numFmtId="6" fontId="89" fillId="0" borderId="0" xfId="433" applyNumberFormat="1" applyFont="1"/>
    <xf numFmtId="0" fontId="78" fillId="0" borderId="0" xfId="433" applyFont="1" applyAlignment="1">
      <alignment horizontal="centerContinuous" vertical="top"/>
    </xf>
    <xf numFmtId="167" fontId="78" fillId="0" borderId="0" xfId="50" applyNumberFormat="1" applyFont="1" applyAlignment="1">
      <alignment horizontal="center" vertical="top"/>
    </xf>
    <xf numFmtId="0" fontId="75" fillId="0" borderId="0" xfId="433" applyFont="1"/>
    <xf numFmtId="0" fontId="86" fillId="0" borderId="0" xfId="433" applyFont="1"/>
    <xf numFmtId="0" fontId="86" fillId="0" borderId="0" xfId="433" applyFont="1" applyAlignment="1">
      <alignment horizontal="center"/>
    </xf>
    <xf numFmtId="6" fontId="75" fillId="0" borderId="0" xfId="433" applyNumberFormat="1" applyFont="1"/>
    <xf numFmtId="9" fontId="72" fillId="0" borderId="0" xfId="434" applyFont="1" applyFill="1" applyBorder="1" applyAlignment="1">
      <alignment horizontal="left"/>
    </xf>
    <xf numFmtId="9" fontId="70" fillId="0" borderId="0" xfId="434" applyFont="1" applyFill="1" applyBorder="1" applyAlignment="1">
      <alignment horizontal="center"/>
    </xf>
    <xf numFmtId="9" fontId="70" fillId="0" borderId="0" xfId="433" applyNumberFormat="1" applyFont="1" applyAlignment="1">
      <alignment horizontal="center" vertical="top"/>
    </xf>
    <xf numFmtId="42" fontId="70" fillId="0" borderId="0" xfId="432" applyNumberFormat="1" applyFont="1" applyFill="1" applyBorder="1" applyAlignment="1">
      <alignment horizontal="right" vertical="top"/>
    </xf>
    <xf numFmtId="10" fontId="70" fillId="0" borderId="0" xfId="433" applyNumberFormat="1" applyFont="1" applyAlignment="1">
      <alignment horizontal="center" vertical="top"/>
    </xf>
    <xf numFmtId="6" fontId="70" fillId="0" borderId="0" xfId="433" applyNumberFormat="1" applyFont="1" applyAlignment="1">
      <alignment horizontal="center" vertical="top"/>
    </xf>
    <xf numFmtId="0" fontId="86" fillId="0" borderId="0" xfId="433" applyFont="1" applyAlignment="1">
      <alignment horizontal="center" vertical="center" wrapText="1"/>
    </xf>
    <xf numFmtId="0" fontId="86" fillId="0" borderId="0" xfId="433" applyFont="1" applyAlignment="1">
      <alignment vertical="center" wrapText="1"/>
    </xf>
    <xf numFmtId="0" fontId="93" fillId="0" borderId="0" xfId="433" applyFont="1"/>
    <xf numFmtId="0" fontId="85" fillId="0" borderId="0" xfId="433" applyFont="1" applyAlignment="1">
      <alignment horizontal="center"/>
    </xf>
    <xf numFmtId="0" fontId="87" fillId="0" borderId="0" xfId="433" applyFont="1" applyAlignment="1">
      <alignment horizontal="center"/>
    </xf>
    <xf numFmtId="0" fontId="78" fillId="0" borderId="0" xfId="433" applyFont="1" applyAlignment="1">
      <alignment horizontal="center" vertical="top" wrapText="1"/>
    </xf>
    <xf numFmtId="44" fontId="71" fillId="41" borderId="60" xfId="436" applyFont="1" applyFill="1" applyBorder="1"/>
    <xf numFmtId="9" fontId="72" fillId="41" borderId="25" xfId="434" applyFont="1" applyFill="1" applyBorder="1"/>
    <xf numFmtId="165" fontId="72" fillId="41" borderId="43" xfId="432" applyNumberFormat="1" applyFont="1" applyFill="1" applyBorder="1"/>
    <xf numFmtId="0" fontId="72" fillId="41" borderId="64" xfId="433" applyFont="1" applyFill="1" applyBorder="1" applyAlignment="1">
      <alignment horizontal="left"/>
    </xf>
    <xf numFmtId="6" fontId="78" fillId="34" borderId="41" xfId="433" applyNumberFormat="1" applyFont="1" applyFill="1" applyBorder="1" applyAlignment="1">
      <alignment horizontal="center" vertical="top" wrapText="1"/>
    </xf>
    <xf numFmtId="6" fontId="72" fillId="41" borderId="25" xfId="433" applyNumberFormat="1" applyFont="1" applyFill="1" applyBorder="1" applyAlignment="1">
      <alignment horizontal="right"/>
    </xf>
    <xf numFmtId="165" fontId="79" fillId="41" borderId="34" xfId="48" applyNumberFormat="1" applyFont="1" applyFill="1" applyBorder="1" applyAlignment="1">
      <alignment vertical="top"/>
    </xf>
    <xf numFmtId="0" fontId="94" fillId="0" borderId="0" xfId="433" applyFont="1" applyAlignment="1">
      <alignment horizontal="center" vertical="top"/>
    </xf>
    <xf numFmtId="10" fontId="94" fillId="0" borderId="0" xfId="74" applyNumberFormat="1" applyFont="1" applyAlignment="1">
      <alignment horizontal="center"/>
    </xf>
    <xf numFmtId="166" fontId="95" fillId="0" borderId="0" xfId="75" applyFont="1" applyFill="1" applyAlignment="1">
      <alignment horizontal="left" vertical="top"/>
    </xf>
    <xf numFmtId="170" fontId="96" fillId="0" borderId="23" xfId="76" applyNumberFormat="1" applyFont="1" applyFill="1" applyBorder="1"/>
    <xf numFmtId="0" fontId="96" fillId="0" borderId="0" xfId="433" applyFont="1"/>
    <xf numFmtId="43" fontId="96" fillId="0" borderId="59" xfId="433" applyNumberFormat="1" applyFont="1" applyBorder="1" applyAlignment="1">
      <alignment horizontal="right"/>
    </xf>
    <xf numFmtId="169" fontId="96" fillId="0" borderId="52" xfId="78" applyNumberFormat="1" applyFont="1" applyFill="1" applyBorder="1"/>
    <xf numFmtId="43" fontId="96" fillId="0" borderId="53" xfId="433" applyNumberFormat="1" applyFont="1" applyBorder="1" applyAlignment="1">
      <alignment horizontal="right"/>
    </xf>
    <xf numFmtId="169" fontId="96" fillId="0" borderId="23" xfId="78" applyNumberFormat="1" applyFont="1" applyFill="1" applyBorder="1"/>
    <xf numFmtId="170" fontId="96" fillId="0" borderId="59" xfId="432" applyNumberFormat="1" applyFont="1" applyFill="1" applyBorder="1"/>
    <xf numFmtId="170" fontId="96" fillId="0" borderId="23" xfId="432" applyNumberFormat="1" applyFont="1" applyFill="1" applyBorder="1"/>
    <xf numFmtId="6" fontId="96" fillId="0" borderId="59" xfId="433" applyNumberFormat="1" applyFont="1" applyBorder="1"/>
    <xf numFmtId="6" fontId="97" fillId="0" borderId="23" xfId="433" applyNumberFormat="1" applyFont="1" applyBorder="1"/>
    <xf numFmtId="8" fontId="97" fillId="0" borderId="23" xfId="433" applyNumberFormat="1" applyFont="1" applyBorder="1"/>
    <xf numFmtId="170" fontId="97" fillId="41" borderId="43" xfId="432" applyNumberFormat="1" applyFont="1" applyFill="1" applyBorder="1"/>
    <xf numFmtId="170" fontId="97" fillId="41" borderId="65" xfId="432" applyNumberFormat="1" applyFont="1" applyFill="1" applyBorder="1"/>
    <xf numFmtId="0" fontId="97" fillId="0" borderId="0" xfId="433" applyFont="1"/>
    <xf numFmtId="43" fontId="97" fillId="41" borderId="60" xfId="432" applyFont="1" applyFill="1" applyBorder="1"/>
    <xf numFmtId="43" fontId="97" fillId="41" borderId="25" xfId="432" applyFont="1" applyFill="1" applyBorder="1"/>
    <xf numFmtId="2" fontId="97" fillId="41" borderId="25" xfId="433" applyNumberFormat="1" applyFont="1" applyFill="1" applyBorder="1"/>
    <xf numFmtId="170" fontId="97" fillId="41" borderId="25" xfId="432" applyNumberFormat="1" applyFont="1" applyFill="1" applyBorder="1"/>
    <xf numFmtId="170" fontId="97" fillId="41" borderId="44" xfId="432" applyNumberFormat="1" applyFont="1" applyFill="1" applyBorder="1"/>
    <xf numFmtId="8" fontId="97" fillId="41" borderId="25" xfId="432" applyNumberFormat="1" applyFont="1" applyFill="1" applyBorder="1"/>
    <xf numFmtId="8" fontId="97" fillId="41" borderId="25" xfId="433" applyNumberFormat="1" applyFont="1" applyFill="1" applyBorder="1"/>
    <xf numFmtId="170" fontId="97" fillId="41" borderId="61" xfId="432" applyNumberFormat="1" applyFont="1" applyFill="1" applyBorder="1"/>
    <xf numFmtId="170" fontId="97" fillId="41" borderId="60" xfId="433" applyNumberFormat="1" applyFont="1" applyFill="1" applyBorder="1"/>
    <xf numFmtId="170" fontId="97" fillId="41" borderId="25" xfId="433" applyNumberFormat="1" applyFont="1" applyFill="1" applyBorder="1"/>
    <xf numFmtId="170" fontId="97" fillId="41" borderId="61" xfId="433" applyNumberFormat="1" applyFont="1" applyFill="1" applyBorder="1"/>
    <xf numFmtId="6" fontId="97" fillId="41" borderId="60" xfId="434" applyNumberFormat="1" applyFont="1" applyFill="1" applyBorder="1"/>
    <xf numFmtId="6" fontId="97" fillId="41" borderId="25" xfId="434" applyNumberFormat="1" applyFont="1" applyFill="1" applyBorder="1"/>
    <xf numFmtId="6" fontId="97" fillId="41" borderId="61" xfId="434" applyNumberFormat="1" applyFont="1" applyFill="1" applyBorder="1"/>
    <xf numFmtId="6" fontId="96" fillId="0" borderId="23" xfId="433" applyNumberFormat="1" applyFont="1" applyBorder="1"/>
    <xf numFmtId="0" fontId="97" fillId="41" borderId="25" xfId="433" applyFont="1" applyFill="1" applyBorder="1"/>
    <xf numFmtId="164" fontId="97" fillId="41" borderId="25" xfId="433" applyNumberFormat="1" applyFont="1" applyFill="1" applyBorder="1"/>
    <xf numFmtId="6" fontId="97" fillId="41" borderId="61" xfId="433" applyNumberFormat="1" applyFont="1" applyFill="1" applyBorder="1"/>
    <xf numFmtId="165" fontId="96" fillId="0" borderId="52" xfId="48" applyNumberFormat="1" applyFont="1" applyFill="1" applyBorder="1"/>
    <xf numFmtId="8" fontId="96" fillId="0" borderId="23" xfId="433" applyNumberFormat="1" applyFont="1" applyBorder="1"/>
    <xf numFmtId="9" fontId="96" fillId="41" borderId="25" xfId="434" applyFont="1" applyFill="1" applyBorder="1"/>
    <xf numFmtId="44" fontId="97" fillId="41" borderId="25" xfId="433" applyNumberFormat="1" applyFont="1" applyFill="1" applyBorder="1"/>
    <xf numFmtId="8" fontId="96" fillId="41" borderId="61" xfId="433" applyNumberFormat="1" applyFont="1" applyFill="1" applyBorder="1"/>
    <xf numFmtId="44" fontId="97" fillId="0" borderId="23" xfId="433" applyNumberFormat="1" applyFont="1" applyBorder="1"/>
    <xf numFmtId="0" fontId="96" fillId="0" borderId="23" xfId="433" applyFont="1" applyBorder="1" applyAlignment="1">
      <alignment horizontal="center"/>
    </xf>
    <xf numFmtId="9" fontId="96" fillId="41" borderId="25" xfId="92" applyFont="1" applyFill="1" applyBorder="1"/>
    <xf numFmtId="44" fontId="96" fillId="41" borderId="25" xfId="433" applyNumberFormat="1" applyFont="1" applyFill="1" applyBorder="1"/>
    <xf numFmtId="44" fontId="97" fillId="41" borderId="61" xfId="433" applyNumberFormat="1" applyFont="1" applyFill="1" applyBorder="1"/>
    <xf numFmtId="171" fontId="97" fillId="41" borderId="25" xfId="80" applyNumberFormat="1" applyFont="1" applyFill="1" applyBorder="1"/>
    <xf numFmtId="0" fontId="97" fillId="41" borderId="61" xfId="433" applyFont="1" applyFill="1" applyBorder="1" applyAlignment="1">
      <alignment horizontal="center"/>
    </xf>
    <xf numFmtId="44" fontId="96" fillId="0" borderId="59" xfId="433" applyNumberFormat="1" applyFont="1" applyBorder="1"/>
    <xf numFmtId="10" fontId="97" fillId="28" borderId="23" xfId="92" applyNumberFormat="1" applyFont="1" applyFill="1" applyBorder="1"/>
    <xf numFmtId="44" fontId="97" fillId="41" borderId="60" xfId="433" applyNumberFormat="1" applyFont="1" applyFill="1" applyBorder="1"/>
    <xf numFmtId="44" fontId="97" fillId="36" borderId="25" xfId="433" applyNumberFormat="1" applyFont="1" applyFill="1" applyBorder="1"/>
    <xf numFmtId="10" fontId="97" fillId="36" borderId="61" xfId="92" applyNumberFormat="1" applyFont="1" applyFill="1" applyBorder="1"/>
    <xf numFmtId="9" fontId="96" fillId="0" borderId="0" xfId="74" applyFont="1" applyFill="1" applyBorder="1" applyAlignment="1">
      <alignment horizontal="center" vertical="top" wrapText="1"/>
    </xf>
    <xf numFmtId="0" fontId="96" fillId="0" borderId="0" xfId="433" applyFont="1" applyAlignment="1">
      <alignment vertical="top"/>
    </xf>
    <xf numFmtId="0" fontId="97" fillId="0" borderId="0" xfId="433" applyFont="1" applyAlignment="1">
      <alignment vertical="top"/>
    </xf>
    <xf numFmtId="6" fontId="96" fillId="0" borderId="0" xfId="433" applyNumberFormat="1" applyFont="1" applyAlignment="1">
      <alignment vertical="top"/>
    </xf>
    <xf numFmtId="0" fontId="96" fillId="0" borderId="0" xfId="433" applyFont="1" applyAlignment="1">
      <alignment horizontal="center" vertical="top"/>
    </xf>
    <xf numFmtId="0" fontId="97" fillId="0" borderId="0" xfId="433" applyFont="1" applyAlignment="1">
      <alignment vertical="center"/>
    </xf>
    <xf numFmtId="0" fontId="98" fillId="0" borderId="0" xfId="431" applyFont="1"/>
    <xf numFmtId="9" fontId="98" fillId="0" borderId="0" xfId="92" applyFont="1"/>
    <xf numFmtId="0" fontId="74" fillId="0" borderId="46" xfId="433" applyFont="1" applyBorder="1"/>
    <xf numFmtId="9" fontId="70" fillId="37" borderId="46" xfId="434" applyFont="1" applyFill="1" applyBorder="1" applyAlignment="1">
      <alignment horizontal="center"/>
    </xf>
    <xf numFmtId="9" fontId="70" fillId="37" borderId="46" xfId="433" applyNumberFormat="1" applyFont="1" applyFill="1" applyBorder="1" applyAlignment="1">
      <alignment horizontal="center" vertical="top"/>
    </xf>
    <xf numFmtId="42" fontId="70" fillId="37" borderId="46" xfId="432" applyNumberFormat="1" applyFont="1" applyFill="1" applyBorder="1" applyAlignment="1">
      <alignment horizontal="right" vertical="top"/>
    </xf>
    <xf numFmtId="10" fontId="70" fillId="37" borderId="46" xfId="433" applyNumberFormat="1" applyFont="1" applyFill="1" applyBorder="1" applyAlignment="1">
      <alignment horizontal="center" vertical="top"/>
    </xf>
    <xf numFmtId="6" fontId="70" fillId="31" borderId="46" xfId="433" applyNumberFormat="1" applyFont="1" applyFill="1" applyBorder="1" applyAlignment="1">
      <alignment horizontal="center" vertical="top"/>
    </xf>
    <xf numFmtId="0" fontId="76" fillId="38" borderId="46" xfId="433" applyFont="1" applyFill="1" applyBorder="1" applyAlignment="1">
      <alignment horizontal="center" vertical="top" wrapText="1"/>
    </xf>
    <xf numFmtId="0" fontId="76" fillId="32" borderId="46" xfId="433" applyFont="1" applyFill="1" applyBorder="1" applyAlignment="1">
      <alignment horizontal="center" vertical="top" wrapText="1"/>
    </xf>
    <xf numFmtId="165" fontId="71" fillId="0" borderId="46" xfId="72" applyNumberFormat="1" applyFont="1" applyBorder="1"/>
    <xf numFmtId="169" fontId="96" fillId="0" borderId="46" xfId="78" applyNumberFormat="1" applyFont="1" applyBorder="1"/>
    <xf numFmtId="43" fontId="96" fillId="0" borderId="46" xfId="433" applyNumberFormat="1" applyFont="1" applyBorder="1" applyAlignment="1">
      <alignment horizontal="right"/>
    </xf>
    <xf numFmtId="2" fontId="96" fillId="30" borderId="46" xfId="433" applyNumberFormat="1" applyFont="1" applyFill="1" applyBorder="1"/>
    <xf numFmtId="169" fontId="96" fillId="0" borderId="46" xfId="433" applyNumberFormat="1" applyFont="1" applyBorder="1"/>
    <xf numFmtId="170" fontId="96" fillId="0" borderId="46" xfId="432" applyNumberFormat="1" applyFont="1" applyFill="1" applyBorder="1"/>
    <xf numFmtId="6" fontId="96" fillId="0" borderId="46" xfId="433" applyNumberFormat="1" applyFont="1" applyBorder="1"/>
    <xf numFmtId="10" fontId="96" fillId="0" borderId="46" xfId="434" applyNumberFormat="1" applyFont="1" applyFill="1" applyBorder="1"/>
    <xf numFmtId="164" fontId="97" fillId="0" borderId="46" xfId="433" applyNumberFormat="1" applyFont="1" applyBorder="1"/>
    <xf numFmtId="9" fontId="96" fillId="0" borderId="46" xfId="434" applyFont="1" applyFill="1" applyBorder="1"/>
    <xf numFmtId="10" fontId="96" fillId="0" borderId="46" xfId="92" applyNumberFormat="1" applyFont="1" applyBorder="1"/>
    <xf numFmtId="10" fontId="96" fillId="0" borderId="46" xfId="80" applyNumberFormat="1" applyFont="1" applyFill="1" applyBorder="1"/>
    <xf numFmtId="44" fontId="97" fillId="0" borderId="46" xfId="433" applyNumberFormat="1" applyFont="1" applyBorder="1"/>
    <xf numFmtId="9" fontId="96" fillId="0" borderId="46" xfId="92" applyFont="1" applyFill="1" applyBorder="1"/>
    <xf numFmtId="44" fontId="96" fillId="0" borderId="46" xfId="433" applyNumberFormat="1" applyFont="1" applyBorder="1"/>
    <xf numFmtId="171" fontId="96" fillId="0" borderId="46" xfId="80" applyNumberFormat="1" applyFont="1" applyFill="1" applyBorder="1"/>
    <xf numFmtId="169" fontId="96" fillId="0" borderId="46" xfId="78" applyNumberFormat="1" applyFont="1" applyFill="1" applyBorder="1"/>
    <xf numFmtId="0" fontId="78" fillId="32" borderId="67" xfId="433" applyFont="1" applyFill="1" applyBorder="1" applyAlignment="1">
      <alignment horizontal="centerContinuous" vertical="top"/>
    </xf>
    <xf numFmtId="43" fontId="97" fillId="41" borderId="68" xfId="432" applyFont="1" applyFill="1" applyBorder="1"/>
    <xf numFmtId="8" fontId="97" fillId="41" borderId="68" xfId="432" applyNumberFormat="1" applyFont="1" applyFill="1" applyBorder="1"/>
    <xf numFmtId="44" fontId="73" fillId="0" borderId="0" xfId="439" applyFont="1"/>
    <xf numFmtId="10" fontId="73" fillId="0" borderId="0" xfId="92" applyNumberFormat="1" applyFont="1"/>
    <xf numFmtId="0" fontId="78" fillId="39" borderId="0" xfId="433" applyFont="1" applyFill="1" applyAlignment="1">
      <alignment horizontal="center" vertical="center" wrapText="1"/>
    </xf>
    <xf numFmtId="167" fontId="78" fillId="39" borderId="0" xfId="50" applyNumberFormat="1" applyFont="1" applyFill="1" applyAlignment="1">
      <alignment horizontal="center" vertical="center"/>
    </xf>
    <xf numFmtId="0" fontId="70" fillId="0" borderId="0" xfId="433" applyFont="1" applyAlignment="1">
      <alignment horizontal="left"/>
    </xf>
    <xf numFmtId="37" fontId="70" fillId="0" borderId="0" xfId="431" applyNumberFormat="1" applyFont="1" applyAlignment="1">
      <alignment horizontal="center"/>
    </xf>
    <xf numFmtId="0" fontId="70" fillId="0" borderId="0" xfId="433" applyFont="1" applyAlignment="1">
      <alignment horizontal="center"/>
    </xf>
    <xf numFmtId="37" fontId="70" fillId="0" borderId="0" xfId="72" applyNumberFormat="1" applyFont="1" applyFill="1" applyBorder="1" applyAlignment="1">
      <alignment horizontal="center"/>
    </xf>
    <xf numFmtId="0" fontId="72" fillId="0" borderId="0" xfId="431" applyFont="1"/>
    <xf numFmtId="0" fontId="72" fillId="0" borderId="70" xfId="431" applyFont="1" applyBorder="1"/>
    <xf numFmtId="37" fontId="72" fillId="0" borderId="70" xfId="432" applyNumberFormat="1" applyFont="1" applyFill="1" applyBorder="1" applyAlignment="1">
      <alignment horizontal="center"/>
    </xf>
    <xf numFmtId="0" fontId="72" fillId="0" borderId="70" xfId="431" applyFont="1" applyBorder="1" applyAlignment="1">
      <alignment horizontal="center"/>
    </xf>
    <xf numFmtId="0" fontId="101" fillId="0" borderId="70" xfId="431" applyFont="1" applyBorder="1" applyAlignment="1">
      <alignment horizontal="center"/>
    </xf>
    <xf numFmtId="0" fontId="74" fillId="0" borderId="0" xfId="431" applyFont="1"/>
    <xf numFmtId="3" fontId="70" fillId="0" borderId="0" xfId="50" applyNumberFormat="1" applyFont="1" applyAlignment="1">
      <alignment horizontal="center"/>
    </xf>
    <xf numFmtId="3" fontId="70" fillId="0" borderId="0" xfId="72" applyNumberFormat="1" applyFont="1" applyFill="1" applyBorder="1" applyAlignment="1">
      <alignment horizontal="center"/>
    </xf>
    <xf numFmtId="3" fontId="70" fillId="0" borderId="0" xfId="431" applyNumberFormat="1" applyFont="1" applyAlignment="1">
      <alignment horizontal="center"/>
    </xf>
    <xf numFmtId="0" fontId="78" fillId="0" borderId="0" xfId="431" applyFont="1"/>
    <xf numFmtId="0" fontId="78" fillId="0" borderId="0" xfId="431" applyFont="1" applyAlignment="1">
      <alignment horizontal="center"/>
    </xf>
    <xf numFmtId="0" fontId="76" fillId="0" borderId="0" xfId="431" applyFont="1"/>
    <xf numFmtId="167" fontId="78" fillId="0" borderId="0" xfId="50" applyNumberFormat="1" applyFont="1" applyAlignment="1">
      <alignment horizontal="center" vertical="center"/>
    </xf>
    <xf numFmtId="37" fontId="72" fillId="0" borderId="0" xfId="432" applyNumberFormat="1" applyFont="1" applyFill="1" applyBorder="1" applyAlignment="1">
      <alignment horizontal="center"/>
    </xf>
    <xf numFmtId="0" fontId="72" fillId="0" borderId="0" xfId="431" applyFont="1" applyAlignment="1">
      <alignment horizontal="center"/>
    </xf>
    <xf numFmtId="0" fontId="101" fillId="0" borderId="0" xfId="431" applyFont="1" applyAlignment="1">
      <alignment horizontal="center"/>
    </xf>
    <xf numFmtId="42" fontId="70" fillId="0" borderId="0" xfId="437" applyNumberFormat="1" applyFont="1" applyFill="1" applyBorder="1" applyAlignment="1" applyProtection="1">
      <alignment horizontal="center"/>
    </xf>
    <xf numFmtId="42" fontId="70" fillId="0" borderId="0" xfId="48" applyNumberFormat="1" applyFont="1" applyFill="1" applyBorder="1" applyAlignment="1" applyProtection="1">
      <alignment horizontal="center"/>
    </xf>
    <xf numFmtId="42" fontId="72" fillId="0" borderId="0" xfId="432" applyNumberFormat="1" applyFont="1" applyFill="1" applyBorder="1" applyAlignment="1" applyProtection="1">
      <alignment horizontal="center"/>
    </xf>
    <xf numFmtId="165" fontId="72" fillId="0" borderId="0" xfId="438" applyNumberFormat="1" applyFont="1" applyFill="1" applyBorder="1" applyAlignment="1" applyProtection="1">
      <alignment horizontal="center"/>
    </xf>
    <xf numFmtId="42" fontId="70" fillId="0" borderId="0" xfId="438" applyNumberFormat="1" applyFont="1" applyFill="1" applyBorder="1" applyAlignment="1" applyProtection="1">
      <alignment horizontal="center"/>
    </xf>
    <xf numFmtId="0" fontId="76" fillId="32" borderId="59" xfId="433" applyFont="1" applyFill="1" applyBorder="1" applyAlignment="1">
      <alignment horizontal="center" vertical="top" wrapText="1"/>
    </xf>
    <xf numFmtId="3" fontId="73" fillId="0" borderId="0" xfId="50" applyNumberFormat="1" applyFont="1" applyAlignment="1">
      <alignment horizontal="center"/>
    </xf>
    <xf numFmtId="3" fontId="70" fillId="28" borderId="0" xfId="431" applyNumberFormat="1" applyFont="1" applyFill="1" applyAlignment="1">
      <alignment horizontal="center"/>
    </xf>
    <xf numFmtId="37" fontId="70" fillId="28" borderId="0" xfId="72" applyNumberFormat="1" applyFont="1" applyFill="1" applyBorder="1" applyAlignment="1">
      <alignment horizontal="center"/>
    </xf>
    <xf numFmtId="42" fontId="70" fillId="28" borderId="0" xfId="437" applyNumberFormat="1" applyFont="1" applyFill="1" applyBorder="1" applyAlignment="1" applyProtection="1">
      <alignment horizontal="center"/>
    </xf>
    <xf numFmtId="42" fontId="70" fillId="28" borderId="0" xfId="48" applyNumberFormat="1" applyFont="1" applyFill="1" applyBorder="1" applyAlignment="1" applyProtection="1">
      <alignment horizontal="center"/>
    </xf>
    <xf numFmtId="9" fontId="73" fillId="0" borderId="0" xfId="92" applyFont="1" applyAlignment="1">
      <alignment horizontal="right"/>
    </xf>
    <xf numFmtId="0" fontId="78" fillId="42" borderId="0" xfId="431" applyFont="1" applyFill="1"/>
    <xf numFmtId="0" fontId="78" fillId="42" borderId="0" xfId="431" applyFont="1" applyFill="1" applyAlignment="1">
      <alignment horizontal="center"/>
    </xf>
    <xf numFmtId="3" fontId="70" fillId="43" borderId="0" xfId="431" applyNumberFormat="1" applyFont="1" applyFill="1" applyAlignment="1">
      <alignment horizontal="center"/>
    </xf>
    <xf numFmtId="3" fontId="70" fillId="0" borderId="0" xfId="431" applyNumberFormat="1" applyFont="1"/>
    <xf numFmtId="37" fontId="70" fillId="0" borderId="0" xfId="431" applyNumberFormat="1" applyFont="1"/>
    <xf numFmtId="9" fontId="70" fillId="0" borderId="0" xfId="92" applyFont="1"/>
    <xf numFmtId="0" fontId="41" fillId="0" borderId="0" xfId="0" applyFont="1"/>
    <xf numFmtId="0" fontId="6" fillId="0" borderId="0" xfId="440" applyAlignment="1">
      <alignment horizontal="left"/>
    </xf>
    <xf numFmtId="165" fontId="6" fillId="0" borderId="0" xfId="440" applyNumberFormat="1"/>
    <xf numFmtId="0" fontId="72" fillId="0" borderId="23" xfId="72" applyNumberFormat="1" applyFont="1" applyFill="1" applyBorder="1" applyAlignment="1">
      <alignment horizontal="left"/>
    </xf>
    <xf numFmtId="0" fontId="72" fillId="41" borderId="10" xfId="72" applyNumberFormat="1" applyFont="1" applyFill="1" applyBorder="1" applyAlignment="1">
      <alignment horizontal="left"/>
    </xf>
    <xf numFmtId="0" fontId="102" fillId="44" borderId="71" xfId="0" applyFont="1" applyFill="1" applyBorder="1"/>
    <xf numFmtId="0" fontId="0" fillId="0" borderId="0" xfId="0" applyAlignment="1">
      <alignment horizontal="left"/>
    </xf>
    <xf numFmtId="165" fontId="0" fillId="0" borderId="0" xfId="0" applyNumberFormat="1"/>
    <xf numFmtId="165" fontId="70" fillId="0" borderId="0" xfId="431" applyNumberFormat="1" applyFont="1"/>
    <xf numFmtId="165" fontId="73" fillId="0" borderId="0" xfId="431" applyNumberFormat="1" applyFont="1"/>
    <xf numFmtId="0" fontId="41" fillId="0" borderId="0" xfId="0" applyFont="1" applyAlignment="1">
      <alignment vertical="center" wrapText="1"/>
    </xf>
    <xf numFmtId="0" fontId="60" fillId="0" borderId="0" xfId="0" applyFont="1" applyAlignment="1">
      <alignment vertical="center" wrapText="1"/>
    </xf>
    <xf numFmtId="3" fontId="41" fillId="0" borderId="0" xfId="0" applyNumberFormat="1" applyFont="1" applyAlignment="1">
      <alignment vertical="center" wrapText="1"/>
    </xf>
    <xf numFmtId="3" fontId="41" fillId="0" borderId="0" xfId="0" applyNumberFormat="1" applyFont="1"/>
    <xf numFmtId="0" fontId="5" fillId="0" borderId="0" xfId="442"/>
    <xf numFmtId="42" fontId="103" fillId="46" borderId="46" xfId="443" applyNumberFormat="1" applyFont="1" applyFill="1" applyBorder="1" applyAlignment="1" applyProtection="1">
      <alignment horizontal="center"/>
    </xf>
    <xf numFmtId="42" fontId="103" fillId="47" borderId="46" xfId="443" applyNumberFormat="1" applyFont="1" applyFill="1" applyBorder="1" applyAlignment="1" applyProtection="1">
      <alignment horizontal="center"/>
    </xf>
    <xf numFmtId="42" fontId="103" fillId="0" borderId="46" xfId="443" applyNumberFormat="1" applyFont="1" applyFill="1" applyBorder="1" applyAlignment="1" applyProtection="1">
      <alignment horizontal="center"/>
    </xf>
    <xf numFmtId="44" fontId="72" fillId="41" borderId="60" xfId="439" applyFont="1" applyFill="1" applyBorder="1"/>
    <xf numFmtId="44" fontId="71" fillId="0" borderId="59" xfId="439" applyFont="1" applyBorder="1"/>
    <xf numFmtId="164" fontId="71" fillId="0" borderId="59" xfId="439" applyNumberFormat="1" applyFont="1" applyBorder="1"/>
    <xf numFmtId="164" fontId="79" fillId="41" borderId="60" xfId="439" applyNumberFormat="1" applyFont="1" applyFill="1" applyBorder="1"/>
    <xf numFmtId="44" fontId="96" fillId="0" borderId="46" xfId="439" applyFont="1" applyBorder="1"/>
    <xf numFmtId="44" fontId="72" fillId="41" borderId="25" xfId="439" applyFont="1" applyFill="1" applyBorder="1"/>
    <xf numFmtId="44" fontId="71" fillId="41" borderId="60" xfId="439" applyFont="1" applyFill="1" applyBorder="1"/>
    <xf numFmtId="44" fontId="96" fillId="0" borderId="53" xfId="439" applyFont="1" applyBorder="1" applyAlignment="1">
      <alignment horizontal="right"/>
    </xf>
    <xf numFmtId="44" fontId="96" fillId="0" borderId="46" xfId="439" applyFont="1" applyBorder="1" applyAlignment="1">
      <alignment horizontal="right"/>
    </xf>
    <xf numFmtId="2" fontId="96" fillId="30" borderId="46" xfId="432" applyNumberFormat="1" applyFont="1" applyFill="1" applyBorder="1"/>
    <xf numFmtId="0" fontId="104" fillId="0" borderId="0" xfId="0" applyFont="1" applyAlignment="1">
      <alignment vertical="center"/>
    </xf>
    <xf numFmtId="164" fontId="97" fillId="28" borderId="46" xfId="433" applyNumberFormat="1" applyFont="1" applyFill="1" applyBorder="1"/>
    <xf numFmtId="43" fontId="82" fillId="0" borderId="0" xfId="438" applyFont="1"/>
    <xf numFmtId="165" fontId="82" fillId="0" borderId="0" xfId="438" applyNumberFormat="1" applyFont="1"/>
    <xf numFmtId="165" fontId="82" fillId="0" borderId="0" xfId="438" applyNumberFormat="1" applyFont="1" applyFill="1"/>
    <xf numFmtId="44" fontId="72" fillId="0" borderId="0" xfId="433" applyNumberFormat="1" applyFont="1"/>
    <xf numFmtId="9" fontId="72" fillId="0" borderId="0" xfId="92" applyFont="1"/>
    <xf numFmtId="44" fontId="73" fillId="0" borderId="0" xfId="433" applyNumberFormat="1" applyFont="1"/>
    <xf numFmtId="0" fontId="70" fillId="0" borderId="46" xfId="433" applyFont="1" applyBorder="1" applyAlignment="1">
      <alignment vertical="top"/>
    </xf>
    <xf numFmtId="0" fontId="70" fillId="0" borderId="46" xfId="433" applyFont="1" applyBorder="1" applyAlignment="1">
      <alignment vertical="top" wrapText="1"/>
    </xf>
    <xf numFmtId="44" fontId="73" fillId="0" borderId="46" xfId="439" applyFont="1" applyBorder="1"/>
    <xf numFmtId="9" fontId="70" fillId="0" borderId="46" xfId="92" applyFont="1" applyBorder="1"/>
    <xf numFmtId="43" fontId="73" fillId="0" borderId="46" xfId="438" applyFont="1" applyBorder="1"/>
    <xf numFmtId="10" fontId="73" fillId="0" borderId="46" xfId="433" applyNumberFormat="1" applyFont="1" applyBorder="1"/>
    <xf numFmtId="0" fontId="73" fillId="0" borderId="46" xfId="433" applyFont="1" applyBorder="1"/>
    <xf numFmtId="44" fontId="73" fillId="0" borderId="46" xfId="433" applyNumberFormat="1" applyFont="1" applyBorder="1"/>
    <xf numFmtId="0" fontId="96" fillId="0" borderId="46" xfId="433" applyFont="1" applyBorder="1" applyAlignment="1">
      <alignment vertical="top" wrapText="1"/>
    </xf>
    <xf numFmtId="0" fontId="73" fillId="0" borderId="47" xfId="433" applyFont="1" applyBorder="1"/>
    <xf numFmtId="164" fontId="72" fillId="0" borderId="73" xfId="439" applyNumberFormat="1" applyFont="1" applyBorder="1"/>
    <xf numFmtId="0" fontId="72" fillId="0" borderId="46" xfId="433" applyFont="1" applyBorder="1" applyAlignment="1">
      <alignment vertical="top" wrapText="1"/>
    </xf>
    <xf numFmtId="0" fontId="106" fillId="0" borderId="0" xfId="0" applyFont="1" applyAlignment="1">
      <alignment vertical="center"/>
    </xf>
    <xf numFmtId="0" fontId="60" fillId="0" borderId="0" xfId="0" applyFont="1"/>
    <xf numFmtId="0" fontId="107" fillId="0" borderId="0" xfId="0" applyFont="1" applyAlignment="1">
      <alignment vertical="center"/>
    </xf>
    <xf numFmtId="164" fontId="60" fillId="49" borderId="46" xfId="439" applyNumberFormat="1" applyFont="1" applyFill="1" applyBorder="1" applyAlignment="1" applyProtection="1">
      <alignment horizontal="right" vertical="top"/>
    </xf>
    <xf numFmtId="0" fontId="108" fillId="0" borderId="46" xfId="0" applyFont="1" applyBorder="1"/>
    <xf numFmtId="9" fontId="108" fillId="0" borderId="46" xfId="0" applyNumberFormat="1" applyFont="1" applyBorder="1"/>
    <xf numFmtId="164" fontId="108" fillId="0" borderId="46" xfId="439" applyNumberFormat="1" applyFont="1" applyBorder="1" applyProtection="1"/>
    <xf numFmtId="0" fontId="60" fillId="49" borderId="46" xfId="0" applyFont="1" applyFill="1" applyBorder="1"/>
    <xf numFmtId="164" fontId="60" fillId="49" borderId="46" xfId="439" applyNumberFormat="1" applyFont="1" applyFill="1" applyBorder="1" applyProtection="1"/>
    <xf numFmtId="0" fontId="78" fillId="48" borderId="74" xfId="0" applyFont="1" applyFill="1" applyBorder="1"/>
    <xf numFmtId="0" fontId="70" fillId="50" borderId="0" xfId="72" applyNumberFormat="1" applyFont="1" applyFill="1" applyBorder="1" applyAlignment="1" applyProtection="1">
      <alignment horizontal="left"/>
    </xf>
    <xf numFmtId="0" fontId="74" fillId="50" borderId="0" xfId="447" applyFont="1" applyFill="1"/>
    <xf numFmtId="0" fontId="70" fillId="0" borderId="0" xfId="72" applyNumberFormat="1" applyFont="1" applyBorder="1" applyAlignment="1" applyProtection="1">
      <alignment horizontal="left"/>
    </xf>
    <xf numFmtId="0" fontId="74" fillId="0" borderId="0" xfId="447" applyFont="1"/>
    <xf numFmtId="0" fontId="70" fillId="50" borderId="70" xfId="72" applyNumberFormat="1" applyFont="1" applyFill="1" applyBorder="1" applyAlignment="1" applyProtection="1">
      <alignment horizontal="left"/>
    </xf>
    <xf numFmtId="0" fontId="74" fillId="50" borderId="70" xfId="447" applyFont="1" applyFill="1" applyBorder="1"/>
    <xf numFmtId="0" fontId="70" fillId="45" borderId="0" xfId="0" applyFont="1" applyFill="1"/>
    <xf numFmtId="0" fontId="0" fillId="45" borderId="0" xfId="0" applyFill="1"/>
    <xf numFmtId="0" fontId="114" fillId="45" borderId="0" xfId="0" applyFont="1" applyFill="1" applyAlignment="1">
      <alignment vertical="center"/>
    </xf>
    <xf numFmtId="0" fontId="74" fillId="45" borderId="0" xfId="433" applyFont="1" applyFill="1" applyAlignment="1">
      <alignment horizontal="center" vertical="top" wrapText="1"/>
    </xf>
    <xf numFmtId="0" fontId="76" fillId="45" borderId="0" xfId="433" applyFont="1" applyFill="1" applyAlignment="1">
      <alignment horizontal="center" vertical="top" wrapText="1"/>
    </xf>
    <xf numFmtId="164" fontId="78" fillId="45" borderId="76" xfId="0" applyNumberFormat="1" applyFont="1" applyFill="1" applyBorder="1"/>
    <xf numFmtId="164" fontId="72" fillId="45" borderId="77" xfId="0" applyNumberFormat="1" applyFont="1" applyFill="1" applyBorder="1"/>
    <xf numFmtId="9" fontId="0" fillId="45" borderId="0" xfId="92" applyFont="1" applyFill="1"/>
    <xf numFmtId="0" fontId="110" fillId="45" borderId="0" xfId="0" applyFont="1" applyFill="1"/>
    <xf numFmtId="9" fontId="94" fillId="45" borderId="78" xfId="434" applyFont="1" applyFill="1" applyBorder="1" applyAlignment="1" applyProtection="1">
      <alignment horizontal="center" vertical="center"/>
      <protection locked="0"/>
    </xf>
    <xf numFmtId="168" fontId="74" fillId="53" borderId="82" xfId="76" applyNumberFormat="1" applyFont="1" applyFill="1" applyBorder="1" applyAlignment="1">
      <alignment horizontal="center" vertical="top" wrapText="1"/>
    </xf>
    <xf numFmtId="0" fontId="74" fillId="53" borderId="83" xfId="433" applyFont="1" applyFill="1" applyBorder="1" applyAlignment="1">
      <alignment vertical="top" wrapText="1"/>
    </xf>
    <xf numFmtId="9" fontId="72" fillId="52" borderId="98" xfId="92" applyFont="1" applyFill="1" applyBorder="1" applyAlignment="1">
      <alignment horizontal="center"/>
    </xf>
    <xf numFmtId="164" fontId="72" fillId="52" borderId="89" xfId="92" applyNumberFormat="1" applyFont="1" applyFill="1" applyBorder="1" applyAlignment="1"/>
    <xf numFmtId="0" fontId="74" fillId="0" borderId="105" xfId="433" applyFont="1" applyBorder="1" applyAlignment="1">
      <alignment horizontal="center" vertical="center" wrapText="1"/>
    </xf>
    <xf numFmtId="0" fontId="74" fillId="0" borderId="106" xfId="433" applyFont="1" applyBorder="1" applyAlignment="1">
      <alignment horizontal="center" vertical="center" wrapText="1"/>
    </xf>
    <xf numFmtId="9" fontId="74" fillId="28" borderId="99" xfId="434" applyFont="1" applyFill="1" applyBorder="1" applyAlignment="1" applyProtection="1">
      <alignment horizontal="center" vertical="center"/>
      <protection locked="0"/>
    </xf>
    <xf numFmtId="9" fontId="74" fillId="28" borderId="103" xfId="434" applyFont="1" applyFill="1" applyBorder="1" applyAlignment="1" applyProtection="1">
      <alignment horizontal="center" vertical="center"/>
      <protection locked="0"/>
    </xf>
    <xf numFmtId="49" fontId="94" fillId="45" borderId="0" xfId="433" applyNumberFormat="1" applyFont="1" applyFill="1" applyAlignment="1">
      <alignment horizontal="center" vertical="center" wrapText="1"/>
    </xf>
    <xf numFmtId="9" fontId="97" fillId="52" borderId="92" xfId="92" applyFont="1" applyFill="1" applyBorder="1" applyAlignment="1">
      <alignment horizontal="center"/>
    </xf>
    <xf numFmtId="164" fontId="72" fillId="52" borderId="87" xfId="439" applyNumberFormat="1" applyFont="1" applyFill="1" applyBorder="1" applyAlignment="1"/>
    <xf numFmtId="9" fontId="97" fillId="52" borderId="94" xfId="92" applyFont="1" applyFill="1" applyBorder="1" applyAlignment="1">
      <alignment horizontal="center"/>
    </xf>
    <xf numFmtId="164" fontId="72" fillId="52" borderId="88" xfId="439" applyNumberFormat="1" applyFont="1" applyFill="1" applyBorder="1" applyAlignment="1"/>
    <xf numFmtId="9" fontId="97" fillId="52" borderId="96" xfId="92" applyFont="1" applyFill="1" applyBorder="1" applyAlignment="1">
      <alignment horizontal="center"/>
    </xf>
    <xf numFmtId="164" fontId="72" fillId="52" borderId="91" xfId="439" applyNumberFormat="1" applyFont="1" applyFill="1" applyBorder="1" applyAlignment="1">
      <alignment horizontal="centerContinuous"/>
    </xf>
    <xf numFmtId="164" fontId="72" fillId="52" borderId="98" xfId="0" applyNumberFormat="1" applyFont="1" applyFill="1" applyBorder="1" applyAlignment="1">
      <alignment horizontal="centerContinuous"/>
    </xf>
    <xf numFmtId="0" fontId="74" fillId="53" borderId="82" xfId="433" applyFont="1" applyFill="1" applyBorder="1" applyAlignment="1">
      <alignment horizontal="centerContinuous" vertical="top" wrapText="1"/>
    </xf>
    <xf numFmtId="0" fontId="104" fillId="0" borderId="0" xfId="0" applyFont="1" applyAlignment="1">
      <alignment horizontal="center" vertical="center" wrapText="1"/>
    </xf>
    <xf numFmtId="164" fontId="72" fillId="52" borderId="107" xfId="0" applyNumberFormat="1" applyFont="1" applyFill="1" applyBorder="1" applyAlignment="1">
      <alignment horizontal="centerContinuous"/>
    </xf>
    <xf numFmtId="44" fontId="72" fillId="52" borderId="109" xfId="439" applyFont="1" applyFill="1" applyBorder="1" applyAlignment="1">
      <alignment horizontal="centerContinuous"/>
    </xf>
    <xf numFmtId="164" fontId="72" fillId="52" borderId="111" xfId="439" applyNumberFormat="1" applyFont="1" applyFill="1" applyBorder="1" applyAlignment="1"/>
    <xf numFmtId="164" fontId="72" fillId="52" borderId="112" xfId="439" applyNumberFormat="1" applyFont="1" applyFill="1" applyBorder="1" applyAlignment="1">
      <alignment horizontal="centerContinuous"/>
    </xf>
    <xf numFmtId="164" fontId="72" fillId="52" borderId="113" xfId="439" applyNumberFormat="1" applyFont="1" applyFill="1" applyBorder="1" applyAlignment="1"/>
    <xf numFmtId="9" fontId="97" fillId="52" borderId="108" xfId="92" applyFont="1" applyFill="1" applyBorder="1" applyAlignment="1">
      <alignment horizontal="center"/>
    </xf>
    <xf numFmtId="9" fontId="97" fillId="52" borderId="114" xfId="92" applyFont="1" applyFill="1" applyBorder="1" applyAlignment="1">
      <alignment horizontal="center"/>
    </xf>
    <xf numFmtId="0" fontId="70" fillId="0" borderId="0" xfId="0" applyFont="1"/>
    <xf numFmtId="0" fontId="95" fillId="45" borderId="0" xfId="0" applyFont="1" applyFill="1" applyAlignment="1">
      <alignment vertical="center"/>
    </xf>
    <xf numFmtId="0" fontId="109" fillId="45" borderId="0" xfId="0" applyFont="1" applyFill="1" applyAlignment="1">
      <alignment vertical="center"/>
    </xf>
    <xf numFmtId="14" fontId="70" fillId="45" borderId="0" xfId="0" applyNumberFormat="1" applyFont="1" applyFill="1" applyAlignment="1">
      <alignment horizontal="left"/>
    </xf>
    <xf numFmtId="15" fontId="70" fillId="45" borderId="0" xfId="0" applyNumberFormat="1" applyFont="1" applyFill="1" applyAlignment="1">
      <alignment horizontal="left" vertical="center"/>
    </xf>
    <xf numFmtId="9" fontId="70" fillId="45" borderId="0" xfId="0" applyNumberFormat="1" applyFont="1" applyFill="1"/>
    <xf numFmtId="0" fontId="111" fillId="45" borderId="0" xfId="0" applyFont="1" applyFill="1" applyAlignment="1">
      <alignment horizontal="right" vertical="center"/>
    </xf>
    <xf numFmtId="0" fontId="74" fillId="0" borderId="104" xfId="433" applyFont="1" applyBorder="1" applyAlignment="1">
      <alignment horizontal="center" vertical="center" wrapText="1"/>
    </xf>
    <xf numFmtId="9" fontId="74" fillId="41" borderId="102" xfId="434" applyFont="1" applyFill="1" applyBorder="1" applyAlignment="1" applyProtection="1">
      <alignment horizontal="center" vertical="center"/>
    </xf>
    <xf numFmtId="9" fontId="74" fillId="41" borderId="99" xfId="434" applyFont="1" applyFill="1" applyBorder="1" applyAlignment="1" applyProtection="1">
      <alignment horizontal="center" vertical="center"/>
    </xf>
    <xf numFmtId="0" fontId="73" fillId="41" borderId="84" xfId="433" applyFont="1" applyFill="1" applyBorder="1" applyAlignment="1">
      <alignment horizontal="center" vertical="top" wrapText="1"/>
    </xf>
    <xf numFmtId="0" fontId="73" fillId="41" borderId="82" xfId="433" applyFont="1" applyFill="1" applyBorder="1" applyAlignment="1">
      <alignment horizontal="center" vertical="top" wrapText="1"/>
    </xf>
    <xf numFmtId="0" fontId="74" fillId="40" borderId="82" xfId="0" applyFont="1" applyFill="1" applyBorder="1" applyAlignment="1">
      <alignment horizontal="center" vertical="top" wrapText="1"/>
    </xf>
    <xf numFmtId="0" fontId="74" fillId="40" borderId="82" xfId="433" applyFont="1" applyFill="1" applyBorder="1" applyAlignment="1">
      <alignment horizontal="centerContinuous" vertical="top" wrapText="1"/>
    </xf>
    <xf numFmtId="0" fontId="74" fillId="40" borderId="82" xfId="439" applyNumberFormat="1" applyFont="1" applyFill="1" applyBorder="1" applyAlignment="1" applyProtection="1">
      <alignment horizontal="left" vertical="top" wrapText="1"/>
    </xf>
    <xf numFmtId="164" fontId="70" fillId="41" borderId="90" xfId="439" applyNumberFormat="1" applyFont="1" applyFill="1" applyBorder="1" applyProtection="1"/>
    <xf numFmtId="164" fontId="70" fillId="41" borderId="91" xfId="439" applyNumberFormat="1" applyFont="1" applyFill="1" applyBorder="1" applyProtection="1"/>
    <xf numFmtId="165" fontId="70" fillId="41" borderId="91" xfId="438" applyNumberFormat="1" applyFont="1" applyFill="1" applyBorder="1" applyProtection="1"/>
    <xf numFmtId="170" fontId="70" fillId="41" borderId="91" xfId="438" applyNumberFormat="1" applyFont="1" applyFill="1" applyBorder="1" applyProtection="1"/>
    <xf numFmtId="9" fontId="72" fillId="49" borderId="91" xfId="92" applyFont="1" applyFill="1" applyBorder="1" applyAlignment="1" applyProtection="1">
      <alignment horizontal="center"/>
    </xf>
    <xf numFmtId="44" fontId="72" fillId="49" borderId="91" xfId="439" applyFont="1" applyFill="1" applyBorder="1" applyAlignment="1" applyProtection="1">
      <alignment horizontal="centerContinuous"/>
    </xf>
    <xf numFmtId="44" fontId="72" fillId="49" borderId="91" xfId="439" applyFont="1" applyFill="1" applyBorder="1" applyAlignment="1" applyProtection="1"/>
    <xf numFmtId="164" fontId="70" fillId="41" borderId="93" xfId="439" applyNumberFormat="1" applyFont="1" applyFill="1" applyBorder="1" applyProtection="1"/>
    <xf numFmtId="170" fontId="70" fillId="41" borderId="94" xfId="438" applyNumberFormat="1" applyFont="1" applyFill="1" applyBorder="1" applyProtection="1"/>
    <xf numFmtId="164" fontId="70" fillId="41" borderId="95" xfId="439" applyNumberFormat="1" applyFont="1" applyFill="1" applyBorder="1" applyProtection="1"/>
    <xf numFmtId="170" fontId="70" fillId="41" borderId="96" xfId="438" applyNumberFormat="1" applyFont="1" applyFill="1" applyBorder="1" applyProtection="1"/>
    <xf numFmtId="9" fontId="97" fillId="49" borderId="96" xfId="92" applyFont="1" applyFill="1" applyBorder="1" applyAlignment="1" applyProtection="1">
      <alignment horizontal="center"/>
    </xf>
    <xf numFmtId="0" fontId="72" fillId="45" borderId="81" xfId="0" applyFont="1" applyFill="1" applyBorder="1" applyAlignment="1">
      <alignment horizontal="right"/>
    </xf>
    <xf numFmtId="0" fontId="70" fillId="41" borderId="97" xfId="0" applyFont="1" applyFill="1" applyBorder="1" applyAlignment="1">
      <alignment horizontal="center"/>
    </xf>
    <xf numFmtId="164" fontId="70" fillId="41" borderId="98" xfId="0" applyNumberFormat="1" applyFont="1" applyFill="1" applyBorder="1"/>
    <xf numFmtId="165" fontId="70" fillId="41" borderId="98" xfId="438" applyNumberFormat="1" applyFont="1" applyFill="1" applyBorder="1" applyProtection="1"/>
    <xf numFmtId="170" fontId="70" fillId="41" borderId="98" xfId="438" applyNumberFormat="1" applyFont="1" applyFill="1" applyBorder="1" applyProtection="1"/>
    <xf numFmtId="9" fontId="72" fillId="49" borderId="98" xfId="92" applyFont="1" applyFill="1" applyBorder="1" applyAlignment="1" applyProtection="1">
      <alignment horizontal="center"/>
    </xf>
    <xf numFmtId="164" fontId="74" fillId="49" borderId="99" xfId="0" applyNumberFormat="1" applyFont="1" applyFill="1" applyBorder="1" applyAlignment="1">
      <alignment horizontal="centerContinuous"/>
    </xf>
    <xf numFmtId="164" fontId="72" fillId="45" borderId="0" xfId="0" applyNumberFormat="1" applyFont="1" applyFill="1"/>
    <xf numFmtId="165" fontId="72" fillId="45" borderId="0" xfId="438" applyNumberFormat="1" applyFont="1" applyFill="1" applyProtection="1"/>
    <xf numFmtId="169" fontId="72" fillId="45" borderId="0" xfId="0" applyNumberFormat="1" applyFont="1" applyFill="1"/>
    <xf numFmtId="169" fontId="72" fillId="45" borderId="75" xfId="0" applyNumberFormat="1" applyFont="1" applyFill="1" applyBorder="1"/>
    <xf numFmtId="164" fontId="72" fillId="45" borderId="76" xfId="0" applyNumberFormat="1" applyFont="1" applyFill="1" applyBorder="1"/>
    <xf numFmtId="0" fontId="112" fillId="45" borderId="0" xfId="0" applyFont="1" applyFill="1"/>
    <xf numFmtId="0" fontId="113" fillId="45" borderId="0" xfId="0" applyFont="1" applyFill="1"/>
    <xf numFmtId="44" fontId="72" fillId="49" borderId="110" xfId="439" applyFont="1" applyFill="1" applyBorder="1" applyAlignment="1" applyProtection="1"/>
    <xf numFmtId="44" fontId="72" fillId="49" borderId="98" xfId="439" applyFont="1" applyFill="1" applyBorder="1" applyAlignment="1" applyProtection="1"/>
    <xf numFmtId="164" fontId="70" fillId="41" borderId="112" xfId="439" applyNumberFormat="1" applyFont="1" applyFill="1" applyBorder="1" applyProtection="1"/>
    <xf numFmtId="165" fontId="70" fillId="41" borderId="112" xfId="438" applyNumberFormat="1" applyFont="1" applyFill="1" applyBorder="1" applyProtection="1"/>
    <xf numFmtId="44" fontId="72" fillId="49" borderId="112" xfId="439" applyFont="1" applyFill="1" applyBorder="1" applyAlignment="1" applyProtection="1">
      <alignment horizontal="centerContinuous"/>
    </xf>
    <xf numFmtId="44" fontId="72" fillId="49" borderId="112" xfId="439" applyFont="1" applyFill="1" applyBorder="1" applyAlignment="1" applyProtection="1"/>
    <xf numFmtId="164" fontId="74" fillId="49" borderId="98" xfId="0" applyNumberFormat="1" applyFont="1" applyFill="1" applyBorder="1" applyAlignment="1">
      <alignment horizontal="centerContinuous"/>
    </xf>
    <xf numFmtId="164" fontId="73" fillId="0" borderId="0" xfId="439" applyNumberFormat="1" applyFont="1" applyProtection="1"/>
    <xf numFmtId="164" fontId="82" fillId="0" borderId="0" xfId="439" applyNumberFormat="1" applyFont="1" applyProtection="1"/>
    <xf numFmtId="0" fontId="78" fillId="0" borderId="0" xfId="431" applyFont="1" applyAlignment="1">
      <alignment horizontal="center" wrapText="1"/>
    </xf>
    <xf numFmtId="0" fontId="76" fillId="0" borderId="0" xfId="431" applyFont="1" applyAlignment="1">
      <alignment horizontal="center" wrapText="1"/>
    </xf>
    <xf numFmtId="42" fontId="70" fillId="0" borderId="0" xfId="0" applyNumberFormat="1" applyFont="1"/>
    <xf numFmtId="42" fontId="73" fillId="0" borderId="0" xfId="48" applyNumberFormat="1" applyFont="1" applyFill="1" applyBorder="1" applyProtection="1"/>
    <xf numFmtId="42" fontId="74" fillId="0" borderId="0" xfId="432" applyNumberFormat="1" applyFont="1" applyFill="1" applyBorder="1" applyProtection="1"/>
    <xf numFmtId="0" fontId="76" fillId="0" borderId="0" xfId="431" applyFont="1" applyAlignment="1">
      <alignment horizontal="center"/>
    </xf>
    <xf numFmtId="42" fontId="100" fillId="0" borderId="0" xfId="0" applyNumberFormat="1" applyFont="1"/>
    <xf numFmtId="165" fontId="74" fillId="0" borderId="0" xfId="438" applyNumberFormat="1" applyFont="1" applyFill="1" applyBorder="1" applyProtection="1"/>
    <xf numFmtId="0" fontId="5" fillId="0" borderId="0" xfId="442" applyAlignment="1">
      <alignment horizontal="center"/>
    </xf>
    <xf numFmtId="0" fontId="102" fillId="0" borderId="72" xfId="442" applyFont="1" applyBorder="1"/>
    <xf numFmtId="0" fontId="102" fillId="0" borderId="0" xfId="442" applyFont="1" applyAlignment="1">
      <alignment horizontal="left" wrapText="1"/>
    </xf>
    <xf numFmtId="0" fontId="102" fillId="0" borderId="0" xfId="442" applyFont="1"/>
    <xf numFmtId="0" fontId="0" fillId="0" borderId="46" xfId="444" applyFont="1" applyBorder="1" applyAlignment="1">
      <alignment horizontal="center"/>
    </xf>
    <xf numFmtId="164" fontId="0" fillId="0" borderId="0" xfId="445" applyNumberFormat="1" applyFont="1" applyProtection="1"/>
    <xf numFmtId="42" fontId="103" fillId="0" borderId="46" xfId="72" applyNumberFormat="1" applyFont="1" applyFill="1" applyBorder="1" applyAlignment="1" applyProtection="1">
      <alignment horizontal="center"/>
    </xf>
    <xf numFmtId="42" fontId="103" fillId="29" borderId="46" xfId="443" applyNumberFormat="1" applyFont="1" applyFill="1" applyBorder="1" applyAlignment="1" applyProtection="1">
      <alignment horizontal="center"/>
    </xf>
    <xf numFmtId="42" fontId="103" fillId="29" borderId="46" xfId="443" applyNumberFormat="1" applyFont="1" applyFill="1" applyBorder="1" applyProtection="1"/>
    <xf numFmtId="6" fontId="5" fillId="0" borderId="0" xfId="442" applyNumberFormat="1" applyAlignment="1">
      <alignment horizontal="right"/>
    </xf>
    <xf numFmtId="0" fontId="5" fillId="0" borderId="0" xfId="442" applyAlignment="1">
      <alignment horizontal="right"/>
    </xf>
    <xf numFmtId="0" fontId="5" fillId="46" borderId="0" xfId="442" applyFill="1"/>
    <xf numFmtId="0" fontId="5" fillId="0" borderId="0" xfId="442" applyAlignment="1">
      <alignment horizontal="left"/>
    </xf>
    <xf numFmtId="0" fontId="5" fillId="47" borderId="0" xfId="442" applyFill="1"/>
    <xf numFmtId="166" fontId="72" fillId="24" borderId="0" xfId="75" applyFont="1" applyFill="1" applyAlignment="1" applyProtection="1">
      <alignment vertical="top"/>
    </xf>
    <xf numFmtId="0" fontId="73" fillId="0" borderId="0" xfId="433" applyFont="1" applyAlignment="1">
      <alignment horizontal="center"/>
    </xf>
    <xf numFmtId="9" fontId="70" fillId="0" borderId="30" xfId="434" applyFont="1" applyFill="1" applyBorder="1" applyAlignment="1" applyProtection="1">
      <alignment horizontal="center" vertical="center"/>
    </xf>
    <xf numFmtId="9" fontId="70" fillId="0" borderId="31" xfId="434" applyFont="1" applyFill="1" applyBorder="1" applyAlignment="1" applyProtection="1">
      <alignment horizontal="center" vertical="center"/>
    </xf>
    <xf numFmtId="0" fontId="74" fillId="0" borderId="36" xfId="433" applyFont="1" applyBorder="1"/>
    <xf numFmtId="0" fontId="74" fillId="0" borderId="0" xfId="433" applyFont="1" applyAlignment="1">
      <alignment horizontal="right"/>
    </xf>
    <xf numFmtId="9" fontId="70" fillId="37" borderId="67" xfId="434" applyFont="1" applyFill="1" applyBorder="1" applyAlignment="1" applyProtection="1">
      <alignment horizontal="center" vertical="center"/>
    </xf>
    <xf numFmtId="9" fontId="70" fillId="37" borderId="62" xfId="434" applyFont="1" applyFill="1" applyBorder="1" applyAlignment="1" applyProtection="1">
      <alignment horizontal="center" vertical="center"/>
    </xf>
    <xf numFmtId="9" fontId="72" fillId="0" borderId="32" xfId="74" applyFont="1" applyFill="1" applyBorder="1" applyProtection="1"/>
    <xf numFmtId="10" fontId="70" fillId="0" borderId="69" xfId="92" applyNumberFormat="1" applyFont="1" applyFill="1" applyBorder="1" applyAlignment="1" applyProtection="1">
      <alignment horizontal="center" vertical="center"/>
    </xf>
    <xf numFmtId="10" fontId="70" fillId="0" borderId="33" xfId="92" applyNumberFormat="1" applyFont="1" applyFill="1" applyBorder="1" applyAlignment="1" applyProtection="1">
      <alignment horizontal="center" vertical="center"/>
    </xf>
    <xf numFmtId="10" fontId="83" fillId="0" borderId="34" xfId="434" applyNumberFormat="1" applyFont="1" applyFill="1" applyBorder="1" applyAlignment="1" applyProtection="1">
      <alignment horizontal="right"/>
    </xf>
    <xf numFmtId="0" fontId="72" fillId="40" borderId="48" xfId="433" applyFont="1" applyFill="1" applyBorder="1" applyAlignment="1">
      <alignment horizontal="center" vertical="top" wrapText="1"/>
    </xf>
    <xf numFmtId="0" fontId="72" fillId="40" borderId="50" xfId="433" applyFont="1" applyFill="1" applyBorder="1" applyAlignment="1">
      <alignment horizontal="centerContinuous" vertical="top"/>
    </xf>
    <xf numFmtId="0" fontId="70" fillId="40" borderId="31" xfId="433" applyFont="1" applyFill="1" applyBorder="1" applyAlignment="1">
      <alignment horizontal="centerContinuous" vertical="top"/>
    </xf>
    <xf numFmtId="0" fontId="70" fillId="40" borderId="24" xfId="433" applyFont="1" applyFill="1" applyBorder="1" applyAlignment="1">
      <alignment horizontal="centerContinuous" vertical="top"/>
    </xf>
    <xf numFmtId="0" fontId="78" fillId="40" borderId="49" xfId="433" applyFont="1" applyFill="1" applyBorder="1" applyAlignment="1">
      <alignment horizontal="center" vertical="top" wrapText="1"/>
    </xf>
    <xf numFmtId="9" fontId="70" fillId="40" borderId="46" xfId="74" applyFont="1" applyFill="1" applyBorder="1" applyAlignment="1" applyProtection="1">
      <alignment horizontal="center" vertical="top" wrapText="1"/>
    </xf>
    <xf numFmtId="0" fontId="72" fillId="40" borderId="38" xfId="433" applyFont="1" applyFill="1" applyBorder="1" applyAlignment="1">
      <alignment horizontal="center" vertical="top" wrapText="1"/>
    </xf>
    <xf numFmtId="167" fontId="72" fillId="40" borderId="46" xfId="50" applyNumberFormat="1" applyFont="1" applyFill="1" applyBorder="1" applyAlignment="1">
      <alignment horizontal="center" vertical="top"/>
    </xf>
    <xf numFmtId="0" fontId="70" fillId="40" borderId="46" xfId="433" applyFont="1" applyFill="1" applyBorder="1" applyAlignment="1">
      <alignment horizontal="center" vertical="top" wrapText="1"/>
    </xf>
    <xf numFmtId="0" fontId="70" fillId="40" borderId="52" xfId="433" applyFont="1" applyFill="1" applyBorder="1" applyAlignment="1">
      <alignment horizontal="center" vertical="top" wrapText="1"/>
    </xf>
    <xf numFmtId="0" fontId="70" fillId="0" borderId="38" xfId="433" applyFont="1" applyBorder="1" applyAlignment="1">
      <alignment horizontal="center"/>
    </xf>
    <xf numFmtId="165" fontId="72" fillId="0" borderId="23" xfId="72" applyNumberFormat="1" applyFont="1" applyFill="1" applyBorder="1" applyAlignment="1" applyProtection="1">
      <alignment horizontal="left"/>
    </xf>
    <xf numFmtId="37" fontId="70" fillId="37" borderId="46" xfId="72" applyNumberFormat="1" applyFont="1" applyFill="1" applyBorder="1" applyAlignment="1" applyProtection="1">
      <alignment horizontal="center"/>
    </xf>
    <xf numFmtId="37" fontId="82" fillId="0" borderId="46" xfId="72" applyNumberFormat="1" applyFont="1" applyBorder="1" applyAlignment="1" applyProtection="1">
      <alignment horizontal="center"/>
    </xf>
    <xf numFmtId="0" fontId="70" fillId="0" borderId="53" xfId="433" applyFont="1" applyBorder="1" applyAlignment="1">
      <alignment horizontal="center"/>
    </xf>
    <xf numFmtId="0" fontId="70" fillId="27" borderId="53" xfId="433" applyFont="1" applyFill="1" applyBorder="1" applyAlignment="1">
      <alignment horizontal="center"/>
    </xf>
    <xf numFmtId="165" fontId="72" fillId="27" borderId="23" xfId="72" applyNumberFormat="1" applyFont="1" applyFill="1" applyBorder="1" applyAlignment="1" applyProtection="1">
      <alignment horizontal="left"/>
    </xf>
    <xf numFmtId="37" fontId="70" fillId="27" borderId="46" xfId="72" applyNumberFormat="1" applyFont="1" applyFill="1" applyBorder="1" applyAlignment="1" applyProtection="1">
      <alignment horizontal="center"/>
    </xf>
    <xf numFmtId="37" fontId="82" fillId="27" borderId="46" xfId="72" applyNumberFormat="1" applyFont="1" applyFill="1" applyBorder="1" applyAlignment="1" applyProtection="1">
      <alignment horizontal="center"/>
    </xf>
    <xf numFmtId="0" fontId="74" fillId="0" borderId="23" xfId="431" applyFont="1" applyBorder="1"/>
    <xf numFmtId="165" fontId="72" fillId="0" borderId="62" xfId="72" applyNumberFormat="1" applyFont="1" applyFill="1" applyBorder="1" applyAlignment="1" applyProtection="1">
      <alignment horizontal="left"/>
    </xf>
    <xf numFmtId="165" fontId="72" fillId="0" borderId="0" xfId="72" applyNumberFormat="1" applyFont="1" applyFill="1" applyBorder="1" applyAlignment="1" applyProtection="1">
      <alignment horizontal="left"/>
    </xf>
    <xf numFmtId="0" fontId="70" fillId="0" borderId="51" xfId="433" applyFont="1" applyBorder="1" applyAlignment="1">
      <alignment horizontal="center"/>
    </xf>
    <xf numFmtId="165" fontId="72" fillId="0" borderId="45" xfId="72" applyNumberFormat="1" applyFont="1" applyFill="1" applyBorder="1" applyAlignment="1" applyProtection="1">
      <alignment horizontal="left"/>
    </xf>
    <xf numFmtId="37" fontId="82" fillId="0" borderId="47" xfId="72" applyNumberFormat="1" applyFont="1" applyBorder="1" applyAlignment="1" applyProtection="1">
      <alignment horizontal="center"/>
    </xf>
    <xf numFmtId="0" fontId="72" fillId="29" borderId="25" xfId="433" applyFont="1" applyFill="1" applyBorder="1" applyAlignment="1">
      <alignment horizontal="center"/>
    </xf>
    <xf numFmtId="165" fontId="72" fillId="29" borderId="25" xfId="72" applyNumberFormat="1" applyFont="1" applyFill="1" applyBorder="1" applyAlignment="1" applyProtection="1">
      <alignment horizontal="left"/>
    </xf>
    <xf numFmtId="37" fontId="72" fillId="29" borderId="25" xfId="432" applyNumberFormat="1" applyFont="1" applyFill="1" applyBorder="1" applyAlignment="1" applyProtection="1">
      <alignment horizontal="center"/>
    </xf>
    <xf numFmtId="165" fontId="73" fillId="0" borderId="0" xfId="433" applyNumberFormat="1" applyFont="1"/>
    <xf numFmtId="0" fontId="41" fillId="0" borderId="0" xfId="0" applyFont="1" applyAlignment="1">
      <alignment wrapText="1"/>
    </xf>
    <xf numFmtId="164" fontId="0" fillId="0" borderId="0" xfId="439" applyNumberFormat="1" applyFont="1"/>
    <xf numFmtId="164" fontId="0" fillId="0" borderId="0" xfId="0" applyNumberFormat="1"/>
    <xf numFmtId="169" fontId="0" fillId="0" borderId="0" xfId="0" applyNumberFormat="1"/>
    <xf numFmtId="164" fontId="60" fillId="0" borderId="0" xfId="0" applyNumberFormat="1" applyFont="1"/>
    <xf numFmtId="9" fontId="0" fillId="0" borderId="0" xfId="92" applyFont="1"/>
    <xf numFmtId="2" fontId="0" fillId="0" borderId="46" xfId="0" applyNumberFormat="1" applyBorder="1"/>
    <xf numFmtId="44" fontId="0" fillId="0" borderId="46" xfId="439" applyFont="1" applyBorder="1"/>
    <xf numFmtId="164" fontId="0" fillId="0" borderId="46" xfId="439" applyNumberFormat="1" applyFont="1" applyBorder="1"/>
    <xf numFmtId="2" fontId="60" fillId="0" borderId="46" xfId="0" applyNumberFormat="1" applyFont="1" applyBorder="1"/>
    <xf numFmtId="164" fontId="117" fillId="54" borderId="0" xfId="0" applyNumberFormat="1" applyFont="1" applyFill="1"/>
    <xf numFmtId="165" fontId="60" fillId="0" borderId="0" xfId="438" applyNumberFormat="1" applyFont="1"/>
    <xf numFmtId="0" fontId="41" fillId="45" borderId="0" xfId="0" applyFont="1" applyFill="1"/>
    <xf numFmtId="9" fontId="41" fillId="45" borderId="0" xfId="0" applyNumberFormat="1" applyFont="1" applyFill="1" applyAlignment="1">
      <alignment horizontal="left"/>
    </xf>
    <xf numFmtId="0" fontId="41" fillId="0" borderId="46" xfId="0" applyFont="1" applyBorder="1" applyAlignment="1">
      <alignment vertical="center" wrapText="1"/>
    </xf>
    <xf numFmtId="44" fontId="60" fillId="0" borderId="46" xfId="439" applyFont="1" applyFill="1" applyBorder="1"/>
    <xf numFmtId="0" fontId="41" fillId="0" borderId="46" xfId="0" applyFont="1" applyBorder="1" applyAlignment="1">
      <alignment wrapText="1"/>
    </xf>
    <xf numFmtId="0" fontId="0" fillId="0" borderId="46" xfId="0" applyBorder="1"/>
    <xf numFmtId="0" fontId="118" fillId="0" borderId="0" xfId="0" applyFont="1"/>
    <xf numFmtId="164" fontId="72" fillId="45" borderId="81" xfId="439" applyNumberFormat="1" applyFont="1" applyFill="1" applyBorder="1" applyAlignment="1">
      <alignment horizontal="right"/>
    </xf>
    <xf numFmtId="2" fontId="60" fillId="37" borderId="46" xfId="0" applyNumberFormat="1" applyFont="1" applyFill="1" applyBorder="1"/>
    <xf numFmtId="44" fontId="60" fillId="37" borderId="46" xfId="439" applyFont="1" applyFill="1" applyBorder="1"/>
    <xf numFmtId="0" fontId="70" fillId="45" borderId="0" xfId="0" applyFont="1" applyFill="1" applyAlignment="1">
      <alignment horizontal="left"/>
    </xf>
    <xf numFmtId="0" fontId="72" fillId="45" borderId="46" xfId="72" applyNumberFormat="1" applyFont="1" applyFill="1" applyBorder="1" applyAlignment="1" applyProtection="1">
      <alignment horizontal="left"/>
    </xf>
    <xf numFmtId="0" fontId="72" fillId="45" borderId="46" xfId="0" applyFont="1" applyFill="1" applyBorder="1" applyAlignment="1">
      <alignment horizontal="right"/>
    </xf>
    <xf numFmtId="2" fontId="60" fillId="0" borderId="116" xfId="0" applyNumberFormat="1" applyFont="1" applyBorder="1"/>
    <xf numFmtId="44" fontId="60" fillId="0" borderId="116" xfId="439" applyFont="1" applyBorder="1"/>
    <xf numFmtId="2" fontId="0" fillId="0" borderId="115" xfId="0" applyNumberFormat="1" applyBorder="1"/>
    <xf numFmtId="44" fontId="0" fillId="0" borderId="115" xfId="439" applyFont="1" applyBorder="1"/>
    <xf numFmtId="0" fontId="0" fillId="0" borderId="115" xfId="0" applyBorder="1"/>
    <xf numFmtId="0" fontId="60" fillId="0" borderId="116" xfId="0" applyFont="1" applyBorder="1"/>
    <xf numFmtId="0" fontId="41" fillId="0" borderId="0" xfId="0" applyFont="1" applyAlignment="1">
      <alignment horizontal="right"/>
    </xf>
    <xf numFmtId="0" fontId="72" fillId="45" borderId="116" xfId="0" applyFont="1" applyFill="1" applyBorder="1" applyAlignment="1">
      <alignment horizontal="right"/>
    </xf>
    <xf numFmtId="0" fontId="0" fillId="0" borderId="66" xfId="0" applyBorder="1"/>
    <xf numFmtId="0" fontId="72" fillId="0" borderId="46" xfId="72" applyNumberFormat="1" applyFont="1" applyFill="1" applyBorder="1" applyAlignment="1" applyProtection="1">
      <alignment horizontal="left"/>
    </xf>
    <xf numFmtId="169" fontId="0" fillId="0" borderId="118" xfId="0" applyNumberFormat="1" applyBorder="1"/>
    <xf numFmtId="0" fontId="3" fillId="0" borderId="0" xfId="448"/>
    <xf numFmtId="0" fontId="102" fillId="55" borderId="0" xfId="448" applyFont="1" applyFill="1"/>
    <xf numFmtId="0" fontId="119" fillId="56" borderId="46" xfId="448" applyFont="1" applyFill="1" applyBorder="1" applyAlignment="1">
      <alignment vertical="center" wrapText="1"/>
    </xf>
    <xf numFmtId="0" fontId="119" fillId="49" borderId="46" xfId="448" applyFont="1" applyFill="1" applyBorder="1" applyAlignment="1">
      <alignment horizontal="center" vertical="center"/>
    </xf>
    <xf numFmtId="0" fontId="119" fillId="55" borderId="46" xfId="448" applyFont="1" applyFill="1" applyBorder="1" applyAlignment="1">
      <alignment horizontal="center" vertical="center"/>
    </xf>
    <xf numFmtId="0" fontId="120" fillId="0" borderId="46" xfId="448" applyFont="1" applyBorder="1" applyAlignment="1">
      <alignment vertical="center" wrapText="1"/>
    </xf>
    <xf numFmtId="165" fontId="121" fillId="0" borderId="46" xfId="449" applyNumberFormat="1" applyFont="1" applyBorder="1"/>
    <xf numFmtId="165" fontId="121" fillId="45" borderId="46" xfId="449" applyNumberFormat="1" applyFont="1" applyFill="1" applyBorder="1"/>
    <xf numFmtId="3" fontId="122" fillId="45" borderId="46" xfId="448" applyNumberFormat="1" applyFont="1" applyFill="1" applyBorder="1"/>
    <xf numFmtId="3" fontId="122" fillId="57" borderId="46" xfId="448" applyNumberFormat="1" applyFont="1" applyFill="1" applyBorder="1"/>
    <xf numFmtId="165" fontId="121" fillId="0" borderId="46" xfId="449" applyNumberFormat="1" applyFont="1" applyFill="1" applyBorder="1"/>
    <xf numFmtId="165" fontId="121" fillId="58" borderId="119" xfId="449" applyNumberFormat="1" applyFont="1" applyFill="1" applyBorder="1"/>
    <xf numFmtId="0" fontId="121" fillId="48" borderId="46" xfId="448" applyFont="1" applyFill="1" applyBorder="1"/>
    <xf numFmtId="0" fontId="121" fillId="48" borderId="0" xfId="448" applyFont="1" applyFill="1"/>
    <xf numFmtId="43" fontId="0" fillId="0" borderId="46" xfId="438" applyFont="1" applyBorder="1"/>
    <xf numFmtId="43" fontId="0" fillId="0" borderId="115" xfId="438" applyFont="1" applyBorder="1"/>
    <xf numFmtId="164" fontId="0" fillId="0" borderId="46" xfId="0" applyNumberFormat="1" applyBorder="1"/>
    <xf numFmtId="9" fontId="0" fillId="0" borderId="46" xfId="92" applyFont="1" applyBorder="1"/>
    <xf numFmtId="0" fontId="60" fillId="0" borderId="46" xfId="0" applyFont="1" applyBorder="1" applyAlignment="1">
      <alignment wrapText="1"/>
    </xf>
    <xf numFmtId="0" fontId="60" fillId="0" borderId="46" xfId="0" applyFont="1" applyBorder="1" applyAlignment="1">
      <alignment vertical="center" wrapText="1"/>
    </xf>
    <xf numFmtId="0" fontId="60" fillId="0" borderId="56" xfId="0" applyFont="1" applyBorder="1"/>
    <xf numFmtId="0" fontId="0" fillId="0" borderId="121" xfId="0" applyBorder="1"/>
    <xf numFmtId="0" fontId="60" fillId="0" borderId="122" xfId="0" applyFont="1" applyBorder="1"/>
    <xf numFmtId="9" fontId="0" fillId="0" borderId="116" xfId="92" applyFont="1" applyBorder="1"/>
    <xf numFmtId="0" fontId="0" fillId="0" borderId="123" xfId="0" applyBorder="1"/>
    <xf numFmtId="9" fontId="0" fillId="0" borderId="115" xfId="92" applyFont="1" applyBorder="1"/>
    <xf numFmtId="164" fontId="0" fillId="0" borderId="115" xfId="439" applyNumberFormat="1" applyFont="1" applyBorder="1"/>
    <xf numFmtId="164" fontId="0" fillId="0" borderId="115" xfId="0" applyNumberFormat="1" applyBorder="1"/>
    <xf numFmtId="0" fontId="106" fillId="0" borderId="120" xfId="0" applyFont="1" applyBorder="1" applyAlignment="1">
      <alignment wrapText="1"/>
    </xf>
    <xf numFmtId="0" fontId="41" fillId="0" borderId="23" xfId="0" applyFont="1" applyBorder="1" applyAlignment="1">
      <alignment vertical="center" wrapText="1"/>
    </xf>
    <xf numFmtId="0" fontId="60" fillId="0" borderId="125" xfId="0" applyFont="1" applyBorder="1"/>
    <xf numFmtId="0" fontId="41" fillId="0" borderId="117" xfId="0" applyFont="1" applyBorder="1"/>
    <xf numFmtId="0" fontId="41" fillId="0" borderId="124" xfId="0" applyFont="1" applyBorder="1"/>
    <xf numFmtId="0" fontId="123" fillId="0" borderId="46" xfId="0" applyFont="1" applyBorder="1" applyAlignment="1">
      <alignment wrapText="1"/>
    </xf>
    <xf numFmtId="0" fontId="123" fillId="0" borderId="46" xfId="0" applyFont="1" applyBorder="1"/>
    <xf numFmtId="164" fontId="124" fillId="0" borderId="46" xfId="439" applyNumberFormat="1" applyFont="1" applyBorder="1"/>
    <xf numFmtId="0" fontId="72" fillId="0" borderId="23" xfId="72" applyNumberFormat="1" applyFont="1" applyFill="1" applyBorder="1" applyAlignment="1" applyProtection="1">
      <alignment horizontal="left"/>
    </xf>
    <xf numFmtId="170" fontId="70" fillId="0" borderId="0" xfId="438" applyNumberFormat="1" applyFont="1" applyFill="1" applyBorder="1" applyProtection="1"/>
    <xf numFmtId="9" fontId="72" fillId="0" borderId="0" xfId="92" applyFont="1" applyFill="1" applyBorder="1" applyAlignment="1" applyProtection="1">
      <alignment horizontal="center"/>
    </xf>
    <xf numFmtId="164" fontId="74" fillId="0" borderId="0" xfId="0" applyNumberFormat="1" applyFont="1" applyAlignment="1">
      <alignment horizontal="centerContinuous"/>
    </xf>
    <xf numFmtId="164" fontId="72" fillId="0" borderId="0" xfId="0" applyNumberFormat="1" applyFont="1" applyAlignment="1">
      <alignment horizontal="centerContinuous"/>
    </xf>
    <xf numFmtId="164" fontId="72" fillId="0" borderId="0" xfId="0" applyNumberFormat="1" applyFont="1"/>
    <xf numFmtId="165" fontId="72" fillId="0" borderId="0" xfId="438" applyNumberFormat="1" applyFont="1" applyFill="1" applyBorder="1" applyProtection="1"/>
    <xf numFmtId="169" fontId="72" fillId="0" borderId="0" xfId="0" applyNumberFormat="1" applyFont="1"/>
    <xf numFmtId="164" fontId="78" fillId="0" borderId="0" xfId="0" applyNumberFormat="1" applyFont="1"/>
    <xf numFmtId="9" fontId="0" fillId="0" borderId="0" xfId="92" applyFont="1" applyFill="1" applyBorder="1"/>
    <xf numFmtId="9" fontId="0" fillId="0" borderId="0" xfId="0" applyNumberFormat="1"/>
    <xf numFmtId="0" fontId="0" fillId="0" borderId="126" xfId="0" applyBorder="1"/>
    <xf numFmtId="9" fontId="118" fillId="45" borderId="0" xfId="0" applyNumberFormat="1" applyFont="1" applyFill="1" applyAlignment="1">
      <alignment horizontal="left"/>
    </xf>
    <xf numFmtId="0" fontId="89" fillId="0" borderId="0" xfId="450" applyFont="1"/>
    <xf numFmtId="0" fontId="88" fillId="0" borderId="0" xfId="450" applyFont="1" applyAlignment="1">
      <alignment horizontal="left"/>
    </xf>
    <xf numFmtId="0" fontId="89" fillId="0" borderId="0" xfId="450" applyFont="1" applyAlignment="1">
      <alignment horizontal="center"/>
    </xf>
    <xf numFmtId="0" fontId="90" fillId="0" borderId="0" xfId="450" applyFont="1"/>
    <xf numFmtId="0" fontId="91" fillId="0" borderId="0" xfId="450" applyFont="1"/>
    <xf numFmtId="0" fontId="92" fillId="0" borderId="0" xfId="450" applyFont="1"/>
    <xf numFmtId="6" fontId="89" fillId="0" borderId="0" xfId="450" applyNumberFormat="1" applyFont="1"/>
    <xf numFmtId="0" fontId="86" fillId="0" borderId="0" xfId="450" applyFont="1" applyAlignment="1">
      <alignment vertical="center" wrapText="1"/>
    </xf>
    <xf numFmtId="0" fontId="93" fillId="0" borderId="0" xfId="450" applyFont="1"/>
    <xf numFmtId="0" fontId="73" fillId="0" borderId="0" xfId="450" applyFont="1" applyAlignment="1">
      <alignment horizontal="left"/>
    </xf>
    <xf numFmtId="0" fontId="72" fillId="0" borderId="0" xfId="450" applyFont="1" applyAlignment="1">
      <alignment horizontal="right"/>
    </xf>
    <xf numFmtId="10" fontId="83" fillId="0" borderId="0" xfId="451" applyNumberFormat="1" applyFont="1" applyFill="1" applyBorder="1" applyAlignment="1">
      <alignment horizontal="center" vertical="center"/>
    </xf>
    <xf numFmtId="0" fontId="73" fillId="0" borderId="0" xfId="450" applyFont="1"/>
    <xf numFmtId="9" fontId="73" fillId="0" borderId="0" xfId="450" applyNumberFormat="1" applyFont="1"/>
    <xf numFmtId="2" fontId="73" fillId="0" borderId="0" xfId="450" applyNumberFormat="1" applyFont="1"/>
    <xf numFmtId="0" fontId="70" fillId="0" borderId="0" xfId="450" applyFont="1"/>
    <xf numFmtId="0" fontId="71" fillId="0" borderId="0" xfId="450" applyFont="1"/>
    <xf numFmtId="6" fontId="73" fillId="0" borderId="0" xfId="450" applyNumberFormat="1" applyFont="1"/>
    <xf numFmtId="0" fontId="75" fillId="0" borderId="0" xfId="450" applyFont="1"/>
    <xf numFmtId="0" fontId="86" fillId="0" borderId="0" xfId="450" applyFont="1"/>
    <xf numFmtId="0" fontId="86" fillId="0" borderId="0" xfId="450" applyFont="1" applyAlignment="1">
      <alignment horizontal="center" vertical="center" wrapText="1"/>
    </xf>
    <xf numFmtId="0" fontId="86" fillId="0" borderId="0" xfId="450" applyFont="1" applyAlignment="1">
      <alignment horizontal="center"/>
    </xf>
    <xf numFmtId="6" fontId="75" fillId="0" borderId="0" xfId="450" applyNumberFormat="1" applyFont="1"/>
    <xf numFmtId="9" fontId="72" fillId="0" borderId="0" xfId="451" applyFont="1" applyFill="1" applyBorder="1" applyAlignment="1">
      <alignment horizontal="left"/>
    </xf>
    <xf numFmtId="0" fontId="74" fillId="0" borderId="46" xfId="450" applyFont="1" applyBorder="1"/>
    <xf numFmtId="0" fontId="78" fillId="0" borderId="0" xfId="450" applyFont="1" applyAlignment="1">
      <alignment vertical="center"/>
    </xf>
    <xf numFmtId="9" fontId="72" fillId="0" borderId="0" xfId="451" applyFont="1" applyFill="1" applyBorder="1" applyAlignment="1">
      <alignment horizontal="right"/>
    </xf>
    <xf numFmtId="9" fontId="70" fillId="37" borderId="46" xfId="451" applyFont="1" applyFill="1" applyBorder="1" applyAlignment="1">
      <alignment horizontal="center"/>
    </xf>
    <xf numFmtId="9" fontId="70" fillId="37" borderId="46" xfId="450" applyNumberFormat="1" applyFont="1" applyFill="1" applyBorder="1" applyAlignment="1">
      <alignment horizontal="center" vertical="top"/>
    </xf>
    <xf numFmtId="0" fontId="76" fillId="0" borderId="0" xfId="450" applyFont="1" applyAlignment="1">
      <alignment vertical="top"/>
    </xf>
    <xf numFmtId="42" fontId="70" fillId="37" borderId="46" xfId="452" applyNumberFormat="1" applyFont="1" applyFill="1" applyBorder="1" applyAlignment="1">
      <alignment horizontal="right" vertical="top"/>
    </xf>
    <xf numFmtId="10" fontId="70" fillId="37" borderId="46" xfId="450" applyNumberFormat="1" applyFont="1" applyFill="1" applyBorder="1" applyAlignment="1">
      <alignment horizontal="center" vertical="top"/>
    </xf>
    <xf numFmtId="6" fontId="70" fillId="31" borderId="46" xfId="450" applyNumberFormat="1" applyFont="1" applyFill="1" applyBorder="1" applyAlignment="1">
      <alignment horizontal="center" vertical="top"/>
    </xf>
    <xf numFmtId="9" fontId="70" fillId="0" borderId="0" xfId="451" applyFont="1" applyFill="1" applyBorder="1" applyAlignment="1">
      <alignment horizontal="center"/>
    </xf>
    <xf numFmtId="9" fontId="70" fillId="0" borderId="0" xfId="450" applyNumberFormat="1" applyFont="1" applyAlignment="1">
      <alignment horizontal="center" vertical="top"/>
    </xf>
    <xf numFmtId="42" fontId="70" fillId="0" borderId="0" xfId="452" applyNumberFormat="1" applyFont="1" applyFill="1" applyBorder="1" applyAlignment="1">
      <alignment horizontal="right" vertical="top"/>
    </xf>
    <xf numFmtId="10" fontId="70" fillId="0" borderId="0" xfId="450" applyNumberFormat="1" applyFont="1" applyAlignment="1">
      <alignment horizontal="center" vertical="top"/>
    </xf>
    <xf numFmtId="6" fontId="70" fillId="0" borderId="0" xfId="450" applyNumberFormat="1" applyFont="1" applyAlignment="1">
      <alignment horizontal="center" vertical="top"/>
    </xf>
    <xf numFmtId="0" fontId="77" fillId="0" borderId="0" xfId="450" applyFont="1" applyAlignment="1">
      <alignment horizontal="left"/>
    </xf>
    <xf numFmtId="0" fontId="94" fillId="0" borderId="0" xfId="450" applyFont="1" applyAlignment="1">
      <alignment horizontal="center" vertical="top"/>
    </xf>
    <xf numFmtId="0" fontId="78" fillId="0" borderId="0" xfId="450" applyFont="1" applyAlignment="1">
      <alignment horizontal="centerContinuous" vertical="top"/>
    </xf>
    <xf numFmtId="0" fontId="78" fillId="38" borderId="35" xfId="450" applyFont="1" applyFill="1" applyBorder="1" applyAlignment="1">
      <alignment horizontal="centerContinuous" vertical="top"/>
    </xf>
    <xf numFmtId="0" fontId="76" fillId="38" borderId="35" xfId="450" applyFont="1" applyFill="1" applyBorder="1" applyAlignment="1">
      <alignment horizontal="centerContinuous" vertical="top"/>
    </xf>
    <xf numFmtId="0" fontId="76" fillId="38" borderId="39" xfId="450" applyFont="1" applyFill="1" applyBorder="1" applyAlignment="1">
      <alignment horizontal="centerContinuous" vertical="top"/>
    </xf>
    <xf numFmtId="0" fontId="78" fillId="32" borderId="35" xfId="450" applyFont="1" applyFill="1" applyBorder="1" applyAlignment="1">
      <alignment horizontal="centerContinuous" vertical="top"/>
    </xf>
    <xf numFmtId="0" fontId="78" fillId="32" borderId="36" xfId="450" applyFont="1" applyFill="1" applyBorder="1" applyAlignment="1">
      <alignment horizontal="centerContinuous" vertical="top"/>
    </xf>
    <xf numFmtId="0" fontId="78" fillId="32" borderId="40" xfId="450" applyFont="1" applyFill="1" applyBorder="1" applyAlignment="1">
      <alignment horizontal="centerContinuous" vertical="top"/>
    </xf>
    <xf numFmtId="6" fontId="70" fillId="0" borderId="0" xfId="450" applyNumberFormat="1" applyFont="1" applyAlignment="1">
      <alignment vertical="top"/>
    </xf>
    <xf numFmtId="0" fontId="71" fillId="0" borderId="0" xfId="450" applyFont="1" applyAlignment="1">
      <alignment vertical="top"/>
    </xf>
    <xf numFmtId="0" fontId="81" fillId="0" borderId="0" xfId="450" applyFont="1" applyAlignment="1">
      <alignment vertical="top"/>
    </xf>
    <xf numFmtId="6" fontId="81" fillId="0" borderId="0" xfId="450" applyNumberFormat="1" applyFont="1" applyAlignment="1">
      <alignment vertical="top"/>
    </xf>
    <xf numFmtId="171" fontId="75" fillId="0" borderId="0" xfId="450" applyNumberFormat="1" applyFont="1" applyAlignment="1">
      <alignment horizontal="center" vertical="top"/>
    </xf>
    <xf numFmtId="9" fontId="78" fillId="38" borderId="62" xfId="451" applyFont="1" applyFill="1" applyBorder="1" applyAlignment="1">
      <alignment horizontal="center" vertical="top"/>
    </xf>
    <xf numFmtId="0" fontId="78" fillId="38" borderId="62" xfId="450" applyFont="1" applyFill="1" applyBorder="1" applyAlignment="1">
      <alignment horizontal="centerContinuous" vertical="top"/>
    </xf>
    <xf numFmtId="0" fontId="78" fillId="32" borderId="62" xfId="450" applyFont="1" applyFill="1" applyBorder="1" applyAlignment="1">
      <alignment horizontal="centerContinuous" vertical="top"/>
    </xf>
    <xf numFmtId="0" fontId="76" fillId="32" borderId="62" xfId="450" applyFont="1" applyFill="1" applyBorder="1" applyAlignment="1">
      <alignment horizontal="centerContinuous" vertical="top"/>
    </xf>
    <xf numFmtId="0" fontId="76" fillId="32" borderId="37" xfId="450" applyFont="1" applyFill="1" applyBorder="1" applyAlignment="1">
      <alignment horizontal="centerContinuous" vertical="top"/>
    </xf>
    <xf numFmtId="0" fontId="78" fillId="32" borderId="67" xfId="450" applyFont="1" applyFill="1" applyBorder="1" applyAlignment="1">
      <alignment horizontal="centerContinuous" vertical="top"/>
    </xf>
    <xf numFmtId="0" fontId="96" fillId="0" borderId="0" xfId="450" applyFont="1" applyAlignment="1">
      <alignment vertical="top"/>
    </xf>
    <xf numFmtId="0" fontId="97" fillId="0" borderId="0" xfId="450" applyFont="1" applyAlignment="1">
      <alignment vertical="top"/>
    </xf>
    <xf numFmtId="6" fontId="96" fillId="0" borderId="0" xfId="450" applyNumberFormat="1" applyFont="1" applyAlignment="1">
      <alignment vertical="top"/>
    </xf>
    <xf numFmtId="0" fontId="96" fillId="0" borderId="0" xfId="450" applyFont="1" applyAlignment="1">
      <alignment horizontal="center" vertical="top"/>
    </xf>
    <xf numFmtId="0" fontId="97" fillId="0" borderId="0" xfId="450" applyFont="1" applyAlignment="1">
      <alignment vertical="center"/>
    </xf>
    <xf numFmtId="0" fontId="76" fillId="38" borderId="59" xfId="450" applyFont="1" applyFill="1" applyBorder="1" applyAlignment="1">
      <alignment horizontal="center" vertical="top" wrapText="1"/>
    </xf>
    <xf numFmtId="0" fontId="76" fillId="38" borderId="46" xfId="450" applyFont="1" applyFill="1" applyBorder="1" applyAlignment="1">
      <alignment horizontal="center" vertical="top" wrapText="1"/>
    </xf>
    <xf numFmtId="0" fontId="70" fillId="0" borderId="0" xfId="450" applyFont="1" applyAlignment="1">
      <alignment vertical="top"/>
    </xf>
    <xf numFmtId="0" fontId="76" fillId="32" borderId="59" xfId="450" applyFont="1" applyFill="1" applyBorder="1" applyAlignment="1">
      <alignment horizontal="center" vertical="top" wrapText="1"/>
    </xf>
    <xf numFmtId="0" fontId="76" fillId="32" borderId="53" xfId="450" applyFont="1" applyFill="1" applyBorder="1" applyAlignment="1">
      <alignment horizontal="center" vertical="top" wrapText="1"/>
    </xf>
    <xf numFmtId="0" fontId="76" fillId="32" borderId="46" xfId="450" applyFont="1" applyFill="1" applyBorder="1" applyAlignment="1">
      <alignment horizontal="center" vertical="top" wrapText="1"/>
    </xf>
    <xf numFmtId="0" fontId="76" fillId="32" borderId="52" xfId="450" applyFont="1" applyFill="1" applyBorder="1" applyAlignment="1">
      <alignment horizontal="center" vertical="top" wrapText="1"/>
    </xf>
    <xf numFmtId="0" fontId="76" fillId="32" borderId="23" xfId="450" applyFont="1" applyFill="1" applyBorder="1" applyAlignment="1">
      <alignment horizontal="center" vertical="top" wrapText="1"/>
    </xf>
    <xf numFmtId="0" fontId="78" fillId="32" borderId="58" xfId="450" applyFont="1" applyFill="1" applyBorder="1" applyAlignment="1">
      <alignment horizontal="center" vertical="top" wrapText="1"/>
    </xf>
    <xf numFmtId="0" fontId="78" fillId="32" borderId="41" xfId="450" applyFont="1" applyFill="1" applyBorder="1" applyAlignment="1">
      <alignment horizontal="center" vertical="top" wrapText="1"/>
    </xf>
    <xf numFmtId="0" fontId="78" fillId="32" borderId="50" xfId="450" applyFont="1" applyFill="1" applyBorder="1" applyAlignment="1">
      <alignment horizontal="center" vertical="top" wrapText="1"/>
    </xf>
    <xf numFmtId="0" fontId="78" fillId="33" borderId="58" xfId="450" applyFont="1" applyFill="1" applyBorder="1" applyAlignment="1">
      <alignment horizontal="center" vertical="top" wrapText="1"/>
    </xf>
    <xf numFmtId="0" fontId="78" fillId="33" borderId="41" xfId="450" applyFont="1" applyFill="1" applyBorder="1" applyAlignment="1">
      <alignment horizontal="center" vertical="top" wrapText="1"/>
    </xf>
    <xf numFmtId="0" fontId="78" fillId="33" borderId="50" xfId="450" applyFont="1" applyFill="1" applyBorder="1" applyAlignment="1">
      <alignment horizontal="center" vertical="top" wrapText="1"/>
    </xf>
    <xf numFmtId="0" fontId="78" fillId="34" borderId="58" xfId="450" applyFont="1" applyFill="1" applyBorder="1" applyAlignment="1">
      <alignment horizontal="center" vertical="top" wrapText="1"/>
    </xf>
    <xf numFmtId="0" fontId="78" fillId="34" borderId="41" xfId="450" applyFont="1" applyFill="1" applyBorder="1" applyAlignment="1">
      <alignment horizontal="center" vertical="top" wrapText="1"/>
    </xf>
    <xf numFmtId="0" fontId="78" fillId="34" borderId="50" xfId="450" applyFont="1" applyFill="1" applyBorder="1" applyAlignment="1">
      <alignment horizontal="center" vertical="top" wrapText="1"/>
    </xf>
    <xf numFmtId="6" fontId="78" fillId="34" borderId="41" xfId="450" applyNumberFormat="1" applyFont="1" applyFill="1" applyBorder="1" applyAlignment="1">
      <alignment horizontal="center" vertical="top" wrapText="1"/>
    </xf>
    <xf numFmtId="0" fontId="78" fillId="34" borderId="42" xfId="450" applyFont="1" applyFill="1" applyBorder="1" applyAlignment="1">
      <alignment horizontal="center" vertical="top" wrapText="1"/>
    </xf>
    <xf numFmtId="0" fontId="72" fillId="35" borderId="58" xfId="450" applyFont="1" applyFill="1" applyBorder="1" applyAlignment="1">
      <alignment horizontal="center" vertical="top" wrapText="1"/>
    </xf>
    <xf numFmtId="0" fontId="72" fillId="35" borderId="41" xfId="450" applyFont="1" applyFill="1" applyBorder="1" applyAlignment="1">
      <alignment horizontal="center" vertical="top" wrapText="1"/>
    </xf>
    <xf numFmtId="0" fontId="72" fillId="35" borderId="50" xfId="450" applyFont="1" applyFill="1" applyBorder="1" applyAlignment="1">
      <alignment horizontal="center" vertical="top" wrapText="1"/>
    </xf>
    <xf numFmtId="0" fontId="78" fillId="0" borderId="0" xfId="450" applyFont="1" applyAlignment="1">
      <alignment horizontal="center" vertical="top" wrapText="1"/>
    </xf>
    <xf numFmtId="0" fontId="78" fillId="36" borderId="58" xfId="450" applyFont="1" applyFill="1" applyBorder="1" applyAlignment="1">
      <alignment horizontal="center" vertical="top" wrapText="1"/>
    </xf>
    <xf numFmtId="0" fontId="78" fillId="36" borderId="41" xfId="450" applyFont="1" applyFill="1" applyBorder="1" applyAlignment="1">
      <alignment horizontal="center" vertical="top" wrapText="1"/>
    </xf>
    <xf numFmtId="0" fontId="78" fillId="36" borderId="50" xfId="450" applyFont="1" applyFill="1" applyBorder="1" applyAlignment="1">
      <alignment horizontal="center" vertical="top" wrapText="1"/>
    </xf>
    <xf numFmtId="0" fontId="78" fillId="51" borderId="41" xfId="450" applyFont="1" applyFill="1" applyBorder="1" applyAlignment="1">
      <alignment horizontal="center" vertical="top" wrapText="1"/>
    </xf>
    <xf numFmtId="0" fontId="78" fillId="51" borderId="50" xfId="450" applyFont="1" applyFill="1" applyBorder="1" applyAlignment="1">
      <alignment horizontal="center" vertical="top" wrapText="1"/>
    </xf>
    <xf numFmtId="0" fontId="70" fillId="0" borderId="57" xfId="450" applyFont="1" applyBorder="1" applyAlignment="1">
      <alignment horizontal="left"/>
    </xf>
    <xf numFmtId="165" fontId="72" fillId="0" borderId="23" xfId="72" applyNumberFormat="1" applyFont="1" applyFill="1" applyBorder="1" applyAlignment="1">
      <alignment horizontal="left"/>
    </xf>
    <xf numFmtId="164" fontId="71" fillId="0" borderId="59" xfId="453" applyNumberFormat="1" applyFont="1" applyBorder="1"/>
    <xf numFmtId="0" fontId="96" fillId="0" borderId="0" xfId="450" applyFont="1"/>
    <xf numFmtId="43" fontId="96" fillId="0" borderId="59" xfId="450" applyNumberFormat="1" applyFont="1" applyBorder="1" applyAlignment="1">
      <alignment horizontal="right"/>
    </xf>
    <xf numFmtId="43" fontId="96" fillId="0" borderId="46" xfId="450" applyNumberFormat="1" applyFont="1" applyBorder="1" applyAlignment="1">
      <alignment horizontal="right"/>
    </xf>
    <xf numFmtId="2" fontId="96" fillId="30" borderId="46" xfId="450" applyNumberFormat="1" applyFont="1" applyFill="1" applyBorder="1"/>
    <xf numFmtId="169" fontId="96" fillId="0" borderId="46" xfId="450" applyNumberFormat="1" applyFont="1" applyBorder="1"/>
    <xf numFmtId="43" fontId="96" fillId="0" borderId="53" xfId="450" applyNumberFormat="1" applyFont="1" applyBorder="1" applyAlignment="1">
      <alignment horizontal="right"/>
    </xf>
    <xf numFmtId="43" fontId="96" fillId="30" borderId="46" xfId="452" applyFont="1" applyFill="1" applyBorder="1"/>
    <xf numFmtId="170" fontId="96" fillId="0" borderId="59" xfId="452" applyNumberFormat="1" applyFont="1" applyFill="1" applyBorder="1"/>
    <xf numFmtId="170" fontId="96" fillId="0" borderId="46" xfId="452" applyNumberFormat="1" applyFont="1" applyFill="1" applyBorder="1"/>
    <xf numFmtId="170" fontId="96" fillId="0" borderId="23" xfId="452" applyNumberFormat="1" applyFont="1" applyFill="1" applyBorder="1"/>
    <xf numFmtId="10" fontId="96" fillId="0" borderId="0" xfId="80" applyNumberFormat="1" applyFont="1"/>
    <xf numFmtId="6" fontId="96" fillId="0" borderId="59" xfId="450" applyNumberFormat="1" applyFont="1" applyBorder="1"/>
    <xf numFmtId="6" fontId="96" fillId="0" borderId="46" xfId="450" applyNumberFormat="1" applyFont="1" applyBorder="1"/>
    <xf numFmtId="6" fontId="97" fillId="0" borderId="23" xfId="450" applyNumberFormat="1" applyFont="1" applyBorder="1"/>
    <xf numFmtId="6" fontId="71" fillId="0" borderId="59" xfId="450" applyNumberFormat="1" applyFont="1" applyBorder="1"/>
    <xf numFmtId="10" fontId="96" fillId="0" borderId="46" xfId="451" applyNumberFormat="1" applyFont="1" applyFill="1" applyBorder="1"/>
    <xf numFmtId="164" fontId="97" fillId="0" borderId="46" xfId="450" applyNumberFormat="1" applyFont="1" applyBorder="1"/>
    <xf numFmtId="6" fontId="96" fillId="0" borderId="23" xfId="450" applyNumberFormat="1" applyFont="1" applyBorder="1"/>
    <xf numFmtId="44" fontId="71" fillId="0" borderId="59" xfId="453" applyFont="1" applyFill="1" applyBorder="1"/>
    <xf numFmtId="9" fontId="96" fillId="0" borderId="46" xfId="451" applyFont="1" applyFill="1" applyBorder="1"/>
    <xf numFmtId="8" fontId="96" fillId="0" borderId="46" xfId="450" applyNumberFormat="1" applyFont="1" applyBorder="1"/>
    <xf numFmtId="10" fontId="96" fillId="0" borderId="46" xfId="80" applyNumberFormat="1" applyFont="1" applyBorder="1"/>
    <xf numFmtId="8" fontId="71" fillId="0" borderId="59" xfId="450" applyNumberFormat="1" applyFont="1" applyBorder="1"/>
    <xf numFmtId="44" fontId="97" fillId="0" borderId="46" xfId="450" applyNumberFormat="1" applyFont="1" applyBorder="1"/>
    <xf numFmtId="8" fontId="96" fillId="0" borderId="23" xfId="450" applyNumberFormat="1" applyFont="1" applyBorder="1"/>
    <xf numFmtId="9" fontId="96" fillId="0" borderId="46" xfId="80" applyFont="1" applyFill="1" applyBorder="1"/>
    <xf numFmtId="44" fontId="96" fillId="0" borderId="46" xfId="450" applyNumberFormat="1" applyFont="1" applyBorder="1"/>
    <xf numFmtId="44" fontId="97" fillId="0" borderId="23" xfId="450" applyNumberFormat="1" applyFont="1" applyBorder="1"/>
    <xf numFmtId="0" fontId="96" fillId="0" borderId="23" xfId="450" applyFont="1" applyBorder="1" applyAlignment="1">
      <alignment horizontal="center"/>
    </xf>
    <xf numFmtId="0" fontId="85" fillId="0" borderId="0" xfId="450" applyFont="1" applyAlignment="1">
      <alignment horizontal="center"/>
    </xf>
    <xf numFmtId="44" fontId="96" fillId="0" borderId="59" xfId="450" applyNumberFormat="1" applyFont="1" applyBorder="1"/>
    <xf numFmtId="44" fontId="97" fillId="28" borderId="46" xfId="450" applyNumberFormat="1" applyFont="1" applyFill="1" applyBorder="1"/>
    <xf numFmtId="10" fontId="97" fillId="28" borderId="23" xfId="80" applyNumberFormat="1" applyFont="1" applyFill="1" applyBorder="1"/>
    <xf numFmtId="44" fontId="73" fillId="0" borderId="59" xfId="49" applyFont="1" applyBorder="1"/>
    <xf numFmtId="44" fontId="74" fillId="60" borderId="23" xfId="450" applyNumberFormat="1" applyFont="1" applyFill="1" applyBorder="1"/>
    <xf numFmtId="10" fontId="74" fillId="60" borderId="23" xfId="80" applyNumberFormat="1" applyFont="1" applyFill="1" applyBorder="1"/>
    <xf numFmtId="0" fontId="70" fillId="0" borderId="59" xfId="450" applyFont="1" applyBorder="1" applyAlignment="1">
      <alignment horizontal="left"/>
    </xf>
    <xf numFmtId="43" fontId="96" fillId="59" borderId="59" xfId="450" applyNumberFormat="1" applyFont="1" applyFill="1" applyBorder="1" applyAlignment="1">
      <alignment horizontal="right"/>
    </xf>
    <xf numFmtId="43" fontId="96" fillId="59" borderId="46" xfId="450" applyNumberFormat="1" applyFont="1" applyFill="1" applyBorder="1" applyAlignment="1">
      <alignment horizontal="right"/>
    </xf>
    <xf numFmtId="43" fontId="96" fillId="59" borderId="53" xfId="450" applyNumberFormat="1" applyFont="1" applyFill="1" applyBorder="1" applyAlignment="1">
      <alignment horizontal="right"/>
    </xf>
    <xf numFmtId="43" fontId="96" fillId="61" borderId="53" xfId="450" applyNumberFormat="1" applyFont="1" applyFill="1" applyBorder="1" applyAlignment="1">
      <alignment horizontal="right"/>
    </xf>
    <xf numFmtId="43" fontId="96" fillId="61" borderId="46" xfId="450" applyNumberFormat="1" applyFont="1" applyFill="1" applyBorder="1" applyAlignment="1">
      <alignment horizontal="right"/>
    </xf>
    <xf numFmtId="43" fontId="96" fillId="61" borderId="59" xfId="450" applyNumberFormat="1" applyFont="1" applyFill="1" applyBorder="1" applyAlignment="1">
      <alignment horizontal="right"/>
    </xf>
    <xf numFmtId="8" fontId="97" fillId="0" borderId="23" xfId="450" applyNumberFormat="1" applyFont="1" applyBorder="1"/>
    <xf numFmtId="8" fontId="73" fillId="0" borderId="0" xfId="450" applyNumberFormat="1" applyFont="1"/>
    <xf numFmtId="0" fontId="72" fillId="41" borderId="64" xfId="450" applyFont="1" applyFill="1" applyBorder="1" applyAlignment="1">
      <alignment horizontal="left"/>
    </xf>
    <xf numFmtId="165" fontId="72" fillId="41" borderId="10" xfId="72" applyNumberFormat="1" applyFont="1" applyFill="1" applyBorder="1" applyAlignment="1">
      <alignment horizontal="left"/>
    </xf>
    <xf numFmtId="165" fontId="72" fillId="41" borderId="60" xfId="452" applyNumberFormat="1" applyFont="1" applyFill="1" applyBorder="1"/>
    <xf numFmtId="165" fontId="72" fillId="41" borderId="43" xfId="452" applyNumberFormat="1" applyFont="1" applyFill="1" applyBorder="1"/>
    <xf numFmtId="170" fontId="97" fillId="41" borderId="43" xfId="452" applyNumberFormat="1" applyFont="1" applyFill="1" applyBorder="1"/>
    <xf numFmtId="170" fontId="97" fillId="41" borderId="65" xfId="452" applyNumberFormat="1" applyFont="1" applyFill="1" applyBorder="1"/>
    <xf numFmtId="0" fontId="97" fillId="0" borderId="0" xfId="450" applyFont="1"/>
    <xf numFmtId="43" fontId="97" fillId="41" borderId="60" xfId="452" applyFont="1" applyFill="1" applyBorder="1"/>
    <xf numFmtId="43" fontId="97" fillId="41" borderId="25" xfId="452" applyFont="1" applyFill="1" applyBorder="1"/>
    <xf numFmtId="2" fontId="97" fillId="41" borderId="25" xfId="450" applyNumberFormat="1" applyFont="1" applyFill="1" applyBorder="1"/>
    <xf numFmtId="170" fontId="97" fillId="41" borderId="25" xfId="452" applyNumberFormat="1" applyFont="1" applyFill="1" applyBorder="1"/>
    <xf numFmtId="170" fontId="97" fillId="41" borderId="44" xfId="452" applyNumberFormat="1" applyFont="1" applyFill="1" applyBorder="1"/>
    <xf numFmtId="43" fontId="97" fillId="41" borderId="68" xfId="452" applyFont="1" applyFill="1" applyBorder="1"/>
    <xf numFmtId="8" fontId="97" fillId="41" borderId="68" xfId="452" applyNumberFormat="1" applyFont="1" applyFill="1" applyBorder="1"/>
    <xf numFmtId="8" fontId="97" fillId="41" borderId="25" xfId="452" applyNumberFormat="1" applyFont="1" applyFill="1" applyBorder="1"/>
    <xf numFmtId="8" fontId="97" fillId="41" borderId="25" xfId="450" applyNumberFormat="1" applyFont="1" applyFill="1" applyBorder="1"/>
    <xf numFmtId="170" fontId="97" fillId="41" borderId="61" xfId="452" applyNumberFormat="1" applyFont="1" applyFill="1" applyBorder="1"/>
    <xf numFmtId="170" fontId="97" fillId="41" borderId="60" xfId="450" applyNumberFormat="1" applyFont="1" applyFill="1" applyBorder="1"/>
    <xf numFmtId="170" fontId="97" fillId="41" borderId="25" xfId="450" applyNumberFormat="1" applyFont="1" applyFill="1" applyBorder="1"/>
    <xf numFmtId="170" fontId="97" fillId="41" borderId="61" xfId="450" applyNumberFormat="1" applyFont="1" applyFill="1" applyBorder="1"/>
    <xf numFmtId="6" fontId="97" fillId="41" borderId="60" xfId="451" applyNumberFormat="1" applyFont="1" applyFill="1" applyBorder="1"/>
    <xf numFmtId="6" fontId="97" fillId="41" borderId="25" xfId="451" applyNumberFormat="1" applyFont="1" applyFill="1" applyBorder="1"/>
    <xf numFmtId="6" fontId="97" fillId="41" borderId="61" xfId="451" applyNumberFormat="1" applyFont="1" applyFill="1" applyBorder="1"/>
    <xf numFmtId="0" fontId="72" fillId="0" borderId="0" xfId="450" applyFont="1"/>
    <xf numFmtId="6" fontId="79" fillId="41" borderId="60" xfId="450" applyNumberFormat="1" applyFont="1" applyFill="1" applyBorder="1"/>
    <xf numFmtId="0" fontId="97" fillId="41" borderId="25" xfId="450" applyFont="1" applyFill="1" applyBorder="1"/>
    <xf numFmtId="164" fontId="97" fillId="41" borderId="25" xfId="450" applyNumberFormat="1" applyFont="1" applyFill="1" applyBorder="1"/>
    <xf numFmtId="6" fontId="97" fillId="41" borderId="61" xfId="450" applyNumberFormat="1" applyFont="1" applyFill="1" applyBorder="1"/>
    <xf numFmtId="9" fontId="72" fillId="41" borderId="25" xfId="451" applyFont="1" applyFill="1" applyBorder="1"/>
    <xf numFmtId="6" fontId="72" fillId="41" borderId="25" xfId="450" applyNumberFormat="1" applyFont="1" applyFill="1" applyBorder="1"/>
    <xf numFmtId="6" fontId="72" fillId="41" borderId="25" xfId="450" applyNumberFormat="1" applyFont="1" applyFill="1" applyBorder="1" applyAlignment="1">
      <alignment horizontal="right"/>
    </xf>
    <xf numFmtId="8" fontId="71" fillId="41" borderId="60" xfId="450" applyNumberFormat="1" applyFont="1" applyFill="1" applyBorder="1"/>
    <xf numFmtId="9" fontId="96" fillId="41" borderId="25" xfId="451" applyFont="1" applyFill="1" applyBorder="1"/>
    <xf numFmtId="44" fontId="97" fillId="41" borderId="25" xfId="450" applyNumberFormat="1" applyFont="1" applyFill="1" applyBorder="1"/>
    <xf numFmtId="8" fontId="96" fillId="41" borderId="61" xfId="450" applyNumberFormat="1" applyFont="1" applyFill="1" applyBorder="1"/>
    <xf numFmtId="44" fontId="71" fillId="41" borderId="60" xfId="453" applyFont="1" applyFill="1" applyBorder="1"/>
    <xf numFmtId="9" fontId="96" fillId="41" borderId="25" xfId="80" applyFont="1" applyFill="1" applyBorder="1"/>
    <xf numFmtId="44" fontId="96" fillId="41" borderId="25" xfId="450" applyNumberFormat="1" applyFont="1" applyFill="1" applyBorder="1"/>
    <xf numFmtId="44" fontId="97" fillId="41" borderId="61" xfId="450" applyNumberFormat="1" applyFont="1" applyFill="1" applyBorder="1"/>
    <xf numFmtId="0" fontId="97" fillId="41" borderId="61" xfId="450" applyFont="1" applyFill="1" applyBorder="1" applyAlignment="1">
      <alignment horizontal="center"/>
    </xf>
    <xf numFmtId="0" fontId="87" fillId="0" borderId="0" xfId="450" applyFont="1" applyAlignment="1">
      <alignment horizontal="center"/>
    </xf>
    <xf numFmtId="44" fontId="97" fillId="41" borderId="60" xfId="450" applyNumberFormat="1" applyFont="1" applyFill="1" applyBorder="1"/>
    <xf numFmtId="44" fontId="97" fillId="36" borderId="25" xfId="450" applyNumberFormat="1" applyFont="1" applyFill="1" applyBorder="1"/>
    <xf numFmtId="10" fontId="97" fillId="36" borderId="61" xfId="80" applyNumberFormat="1" applyFont="1" applyFill="1" applyBorder="1"/>
    <xf numFmtId="44" fontId="72" fillId="0" borderId="60" xfId="450" applyNumberFormat="1" applyFont="1" applyBorder="1"/>
    <xf numFmtId="44" fontId="72" fillId="35" borderId="61" xfId="450" applyNumberFormat="1" applyFont="1" applyFill="1" applyBorder="1"/>
    <xf numFmtId="10" fontId="72" fillId="35" borderId="61" xfId="80" applyNumberFormat="1" applyFont="1" applyFill="1" applyBorder="1"/>
    <xf numFmtId="164" fontId="73" fillId="0" borderId="0" xfId="450" applyNumberFormat="1" applyFont="1"/>
    <xf numFmtId="43" fontId="73" fillId="0" borderId="0" xfId="450" applyNumberFormat="1" applyFont="1"/>
    <xf numFmtId="171" fontId="75" fillId="0" borderId="0" xfId="450" applyNumberFormat="1" applyFont="1"/>
    <xf numFmtId="171" fontId="75" fillId="0" borderId="0" xfId="450" applyNumberFormat="1" applyFont="1" applyAlignment="1">
      <alignment horizontal="center"/>
    </xf>
    <xf numFmtId="166" fontId="72" fillId="24" borderId="0" xfId="75" applyFont="1" applyFill="1" applyAlignment="1">
      <alignment horizontal="left" vertical="top"/>
    </xf>
    <xf numFmtId="0" fontId="72" fillId="0" borderId="46" xfId="450" applyFont="1" applyBorder="1" applyAlignment="1">
      <alignment horizontal="left"/>
    </xf>
    <xf numFmtId="0" fontId="73" fillId="0" borderId="0" xfId="450" applyFont="1" applyAlignment="1">
      <alignment horizontal="center"/>
    </xf>
    <xf numFmtId="0" fontId="74" fillId="0" borderId="0" xfId="450" applyFont="1"/>
    <xf numFmtId="10" fontId="83" fillId="37" borderId="47" xfId="451" applyNumberFormat="1" applyFont="1" applyFill="1" applyBorder="1" applyAlignment="1">
      <alignment horizontal="center" vertical="center"/>
    </xf>
    <xf numFmtId="10" fontId="71" fillId="0" borderId="0" xfId="74" applyNumberFormat="1" applyFont="1" applyFill="1" applyAlignment="1">
      <alignment horizontal="center"/>
    </xf>
    <xf numFmtId="9" fontId="72" fillId="0" borderId="45" xfId="451" applyFont="1" applyFill="1" applyBorder="1" applyAlignment="1">
      <alignment horizontal="left"/>
    </xf>
    <xf numFmtId="43" fontId="71" fillId="0" borderId="127" xfId="76" applyFont="1" applyFill="1" applyBorder="1"/>
    <xf numFmtId="0" fontId="73" fillId="0" borderId="127" xfId="450" applyFont="1" applyBorder="1" applyAlignment="1">
      <alignment horizontal="left"/>
    </xf>
    <xf numFmtId="10" fontId="71" fillId="0" borderId="128" xfId="74" applyNumberFormat="1" applyFont="1" applyFill="1" applyBorder="1" applyAlignment="1">
      <alignment horizontal="center"/>
    </xf>
    <xf numFmtId="0" fontId="74" fillId="0" borderId="45" xfId="450" applyFont="1" applyBorder="1"/>
    <xf numFmtId="0" fontId="73" fillId="0" borderId="127" xfId="450" applyFont="1" applyBorder="1"/>
    <xf numFmtId="0" fontId="73" fillId="0" borderId="128" xfId="450" applyFont="1" applyBorder="1"/>
    <xf numFmtId="10" fontId="73" fillId="0" borderId="0" xfId="74" applyNumberFormat="1" applyFont="1"/>
    <xf numFmtId="0" fontId="78" fillId="38" borderId="48" xfId="450" applyFont="1" applyFill="1" applyBorder="1" applyAlignment="1">
      <alignment horizontal="left" vertical="top" wrapText="1"/>
    </xf>
    <xf numFmtId="0" fontId="78" fillId="38" borderId="36" xfId="450" applyFont="1" applyFill="1" applyBorder="1" applyAlignment="1">
      <alignment horizontal="centerContinuous" vertical="top"/>
    </xf>
    <xf numFmtId="168" fontId="76" fillId="38" borderId="36" xfId="76" applyNumberFormat="1" applyFont="1" applyFill="1" applyBorder="1" applyAlignment="1">
      <alignment horizontal="centerContinuous" vertical="top"/>
    </xf>
    <xf numFmtId="42" fontId="81" fillId="0" borderId="0" xfId="450" applyNumberFormat="1" applyFont="1" applyAlignment="1">
      <alignment vertical="top"/>
    </xf>
    <xf numFmtId="0" fontId="75" fillId="0" borderId="0" xfId="450" applyFont="1" applyAlignment="1">
      <alignment vertical="top"/>
    </xf>
    <xf numFmtId="0" fontId="78" fillId="38" borderId="49" xfId="450" applyFont="1" applyFill="1" applyBorder="1" applyAlignment="1">
      <alignment horizontal="left" vertical="top" wrapText="1"/>
    </xf>
    <xf numFmtId="9" fontId="76" fillId="38" borderId="37" xfId="74" applyFont="1" applyFill="1" applyBorder="1" applyAlignment="1">
      <alignment horizontal="center" vertical="top" wrapText="1"/>
    </xf>
    <xf numFmtId="0" fontId="78" fillId="38" borderId="37" xfId="450" applyFont="1" applyFill="1" applyBorder="1" applyAlignment="1">
      <alignment horizontal="centerContinuous" vertical="top"/>
    </xf>
    <xf numFmtId="0" fontId="72" fillId="0" borderId="0" xfId="450" applyFont="1" applyAlignment="1">
      <alignment vertical="top"/>
    </xf>
    <xf numFmtId="6" fontId="76" fillId="0" borderId="0" xfId="450" applyNumberFormat="1" applyFont="1" applyAlignment="1">
      <alignment vertical="top"/>
    </xf>
    <xf numFmtId="0" fontId="78" fillId="38" borderId="38" xfId="450" applyFont="1" applyFill="1" applyBorder="1" applyAlignment="1">
      <alignment horizontal="left" vertical="top" wrapText="1"/>
    </xf>
    <xf numFmtId="167" fontId="78" fillId="38" borderId="129" xfId="50" applyNumberFormat="1" applyFont="1" applyFill="1" applyBorder="1" applyAlignment="1">
      <alignment horizontal="center" vertical="top"/>
    </xf>
    <xf numFmtId="168" fontId="76" fillId="38" borderId="52" xfId="76" applyNumberFormat="1" applyFont="1" applyFill="1" applyBorder="1" applyAlignment="1">
      <alignment horizontal="center" vertical="top" wrapText="1"/>
    </xf>
    <xf numFmtId="0" fontId="78" fillId="32" borderId="130" xfId="450" applyFont="1" applyFill="1" applyBorder="1" applyAlignment="1">
      <alignment horizontal="center" vertical="top" wrapText="1"/>
    </xf>
    <xf numFmtId="0" fontId="78" fillId="32" borderId="42" xfId="450" applyFont="1" applyFill="1" applyBorder="1" applyAlignment="1">
      <alignment horizontal="center" vertical="top" wrapText="1"/>
    </xf>
    <xf numFmtId="0" fontId="78" fillId="33" borderId="130" xfId="450" applyFont="1" applyFill="1" applyBorder="1" applyAlignment="1">
      <alignment horizontal="center" vertical="top" wrapText="1"/>
    </xf>
    <xf numFmtId="0" fontId="78" fillId="33" borderId="42" xfId="450" applyFont="1" applyFill="1" applyBorder="1" applyAlignment="1">
      <alignment horizontal="center" vertical="top" wrapText="1"/>
    </xf>
    <xf numFmtId="0" fontId="78" fillId="34" borderId="130" xfId="450" applyFont="1" applyFill="1" applyBorder="1" applyAlignment="1">
      <alignment horizontal="center" vertical="top" wrapText="1"/>
    </xf>
    <xf numFmtId="6" fontId="78" fillId="34" borderId="42" xfId="450" applyNumberFormat="1" applyFont="1" applyFill="1" applyBorder="1" applyAlignment="1">
      <alignment horizontal="center" vertical="top" wrapText="1"/>
    </xf>
    <xf numFmtId="0" fontId="78" fillId="34" borderId="131" xfId="450" applyFont="1" applyFill="1" applyBorder="1" applyAlignment="1">
      <alignment horizontal="center" vertical="top" wrapText="1"/>
    </xf>
    <xf numFmtId="0" fontId="72" fillId="35" borderId="130" xfId="450" applyFont="1" applyFill="1" applyBorder="1" applyAlignment="1">
      <alignment horizontal="center" vertical="top" wrapText="1"/>
    </xf>
    <xf numFmtId="0" fontId="72" fillId="35" borderId="42" xfId="450" applyFont="1" applyFill="1" applyBorder="1" applyAlignment="1">
      <alignment horizontal="center" vertical="top" wrapText="1"/>
    </xf>
    <xf numFmtId="0" fontId="72" fillId="36" borderId="130" xfId="450" applyFont="1" applyFill="1" applyBorder="1" applyAlignment="1">
      <alignment horizontal="center" vertical="top" wrapText="1"/>
    </xf>
    <xf numFmtId="0" fontId="72" fillId="36" borderId="41" xfId="450" applyFont="1" applyFill="1" applyBorder="1" applyAlignment="1">
      <alignment horizontal="center" vertical="top" wrapText="1"/>
    </xf>
    <xf numFmtId="6" fontId="72" fillId="36" borderId="42" xfId="450" applyNumberFormat="1" applyFont="1" applyFill="1" applyBorder="1" applyAlignment="1">
      <alignment horizontal="center" vertical="top" wrapText="1"/>
    </xf>
    <xf numFmtId="0" fontId="70" fillId="0" borderId="38" xfId="450" applyFont="1" applyBorder="1" applyAlignment="1">
      <alignment horizontal="left"/>
    </xf>
    <xf numFmtId="165" fontId="72" fillId="0" borderId="52" xfId="72" applyNumberFormat="1" applyFont="1" applyFill="1" applyBorder="1" applyAlignment="1">
      <alignment horizontal="left"/>
    </xf>
    <xf numFmtId="169" fontId="70" fillId="0" borderId="46" xfId="78" applyNumberFormat="1" applyFont="1" applyBorder="1"/>
    <xf numFmtId="170" fontId="70" fillId="0" borderId="52" xfId="76" applyNumberFormat="1" applyFont="1" applyFill="1" applyBorder="1"/>
    <xf numFmtId="43" fontId="73" fillId="0" borderId="53" xfId="450" applyNumberFormat="1" applyFont="1" applyBorder="1" applyAlignment="1">
      <alignment horizontal="right"/>
    </xf>
    <xf numFmtId="43" fontId="73" fillId="0" borderId="46" xfId="450" applyNumberFormat="1" applyFont="1" applyBorder="1" applyAlignment="1">
      <alignment horizontal="right"/>
    </xf>
    <xf numFmtId="2" fontId="70" fillId="30" borderId="46" xfId="450" applyNumberFormat="1" applyFont="1" applyFill="1" applyBorder="1"/>
    <xf numFmtId="169" fontId="70" fillId="0" borderId="46" xfId="450" applyNumberFormat="1" applyFont="1" applyBorder="1"/>
    <xf numFmtId="169" fontId="70" fillId="0" borderId="52" xfId="78" applyNumberFormat="1" applyFont="1" applyFill="1" applyBorder="1"/>
    <xf numFmtId="43" fontId="70" fillId="30" borderId="46" xfId="452" applyFont="1" applyFill="1" applyBorder="1"/>
    <xf numFmtId="170" fontId="73" fillId="0" borderId="53" xfId="452" applyNumberFormat="1" applyFont="1" applyFill="1" applyBorder="1"/>
    <xf numFmtId="170" fontId="73" fillId="0" borderId="46" xfId="452" applyNumberFormat="1" applyFont="1" applyFill="1" applyBorder="1"/>
    <xf numFmtId="170" fontId="73" fillId="0" borderId="52" xfId="452" applyNumberFormat="1" applyFont="1" applyFill="1" applyBorder="1"/>
    <xf numFmtId="9" fontId="73" fillId="0" borderId="0" xfId="80" applyFont="1"/>
    <xf numFmtId="6" fontId="73" fillId="0" borderId="53" xfId="450" applyNumberFormat="1" applyFont="1" applyBorder="1"/>
    <xf numFmtId="6" fontId="73" fillId="0" borderId="46" xfId="450" applyNumberFormat="1" applyFont="1" applyBorder="1"/>
    <xf numFmtId="6" fontId="74" fillId="0" borderId="52" xfId="450" applyNumberFormat="1" applyFont="1" applyBorder="1"/>
    <xf numFmtId="6" fontId="71" fillId="0" borderId="53" xfId="450" applyNumberFormat="1" applyFont="1" applyBorder="1"/>
    <xf numFmtId="9" fontId="73" fillId="0" borderId="46" xfId="451" applyFont="1" applyFill="1" applyBorder="1"/>
    <xf numFmtId="164" fontId="72" fillId="0" borderId="46" xfId="450" applyNumberFormat="1" applyFont="1" applyBorder="1"/>
    <xf numFmtId="6" fontId="73" fillId="0" borderId="52" xfId="450" applyNumberFormat="1" applyFont="1" applyBorder="1"/>
    <xf numFmtId="164" fontId="71" fillId="0" borderId="53" xfId="453" applyNumberFormat="1" applyFont="1" applyFill="1" applyBorder="1"/>
    <xf numFmtId="8" fontId="73" fillId="0" borderId="46" xfId="450" applyNumberFormat="1" applyFont="1" applyBorder="1"/>
    <xf numFmtId="165" fontId="73" fillId="0" borderId="121" xfId="48" applyNumberFormat="1" applyFont="1" applyFill="1" applyBorder="1"/>
    <xf numFmtId="10" fontId="73" fillId="0" borderId="46" xfId="80" applyNumberFormat="1" applyFont="1" applyFill="1" applyBorder="1"/>
    <xf numFmtId="8" fontId="73" fillId="0" borderId="52" xfId="450" applyNumberFormat="1" applyFont="1" applyBorder="1"/>
    <xf numFmtId="164" fontId="71" fillId="28" borderId="53" xfId="453" applyNumberFormat="1" applyFont="1" applyFill="1" applyBorder="1"/>
    <xf numFmtId="10" fontId="73" fillId="28" borderId="46" xfId="451" applyNumberFormat="1" applyFont="1" applyFill="1" applyBorder="1"/>
    <xf numFmtId="8" fontId="73" fillId="28" borderId="46" xfId="450" applyNumberFormat="1" applyFont="1" applyFill="1" applyBorder="1"/>
    <xf numFmtId="6" fontId="74" fillId="28" borderId="52" xfId="450" applyNumberFormat="1" applyFont="1" applyFill="1" applyBorder="1"/>
    <xf numFmtId="10" fontId="75" fillId="0" borderId="0" xfId="80" applyNumberFormat="1" applyFont="1" applyFill="1"/>
    <xf numFmtId="0" fontId="70" fillId="0" borderId="53" xfId="450" applyFont="1" applyBorder="1" applyAlignment="1">
      <alignment horizontal="left"/>
    </xf>
    <xf numFmtId="169" fontId="70" fillId="0" borderId="46" xfId="78" applyNumberFormat="1" applyFont="1" applyFill="1" applyBorder="1"/>
    <xf numFmtId="6" fontId="70" fillId="0" borderId="52" xfId="450" applyNumberFormat="1" applyFont="1" applyBorder="1"/>
    <xf numFmtId="0" fontId="70" fillId="27" borderId="53" xfId="450" applyFont="1" applyFill="1" applyBorder="1" applyAlignment="1">
      <alignment horizontal="left"/>
    </xf>
    <xf numFmtId="165" fontId="72" fillId="27" borderId="52" xfId="72" applyNumberFormat="1" applyFont="1" applyFill="1" applyBorder="1" applyAlignment="1">
      <alignment horizontal="left"/>
    </xf>
    <xf numFmtId="164" fontId="71" fillId="27" borderId="59" xfId="453" applyNumberFormat="1" applyFont="1" applyFill="1" applyBorder="1"/>
    <xf numFmtId="165" fontId="71" fillId="27" borderId="46" xfId="72" applyNumberFormat="1" applyFont="1" applyFill="1" applyBorder="1"/>
    <xf numFmtId="169" fontId="70" fillId="27" borderId="46" xfId="78" applyNumberFormat="1" applyFont="1" applyFill="1" applyBorder="1"/>
    <xf numFmtId="170" fontId="70" fillId="27" borderId="52" xfId="76" applyNumberFormat="1" applyFont="1" applyFill="1" applyBorder="1"/>
    <xf numFmtId="43" fontId="73" fillId="27" borderId="53" xfId="450" applyNumberFormat="1" applyFont="1" applyFill="1" applyBorder="1" applyAlignment="1">
      <alignment horizontal="right"/>
    </xf>
    <xf numFmtId="43" fontId="73" fillId="27" borderId="46" xfId="450" applyNumberFormat="1" applyFont="1" applyFill="1" applyBorder="1" applyAlignment="1">
      <alignment horizontal="right"/>
    </xf>
    <xf numFmtId="2" fontId="70" fillId="27" borderId="46" xfId="450" applyNumberFormat="1" applyFont="1" applyFill="1" applyBorder="1"/>
    <xf numFmtId="169" fontId="70" fillId="27" borderId="46" xfId="450" applyNumberFormat="1" applyFont="1" applyFill="1" applyBorder="1"/>
    <xf numFmtId="169" fontId="70" fillId="27" borderId="52" xfId="78" applyNumberFormat="1" applyFont="1" applyFill="1" applyBorder="1"/>
    <xf numFmtId="43" fontId="70" fillId="27" borderId="46" xfId="452" applyFont="1" applyFill="1" applyBorder="1"/>
    <xf numFmtId="170" fontId="73" fillId="27" borderId="53" xfId="452" applyNumberFormat="1" applyFont="1" applyFill="1" applyBorder="1"/>
    <xf numFmtId="170" fontId="73" fillId="27" borderId="46" xfId="452" applyNumberFormat="1" applyFont="1" applyFill="1" applyBorder="1"/>
    <xf numFmtId="170" fontId="73" fillId="27" borderId="52" xfId="452" applyNumberFormat="1" applyFont="1" applyFill="1" applyBorder="1"/>
    <xf numFmtId="6" fontId="73" fillId="27" borderId="53" xfId="450" applyNumberFormat="1" applyFont="1" applyFill="1" applyBorder="1"/>
    <xf numFmtId="6" fontId="73" fillId="27" borderId="46" xfId="450" applyNumberFormat="1" applyFont="1" applyFill="1" applyBorder="1"/>
    <xf numFmtId="6" fontId="74" fillId="27" borderId="52" xfId="450" applyNumberFormat="1" applyFont="1" applyFill="1" applyBorder="1"/>
    <xf numFmtId="6" fontId="71" fillId="27" borderId="53" xfId="450" applyNumberFormat="1" applyFont="1" applyFill="1" applyBorder="1"/>
    <xf numFmtId="9" fontId="73" fillId="27" borderId="46" xfId="451" applyFont="1" applyFill="1" applyBorder="1"/>
    <xf numFmtId="164" fontId="72" fillId="27" borderId="46" xfId="450" applyNumberFormat="1" applyFont="1" applyFill="1" applyBorder="1"/>
    <xf numFmtId="6" fontId="73" fillId="27" borderId="52" xfId="450" applyNumberFormat="1" applyFont="1" applyFill="1" applyBorder="1"/>
    <xf numFmtId="164" fontId="71" fillId="27" borderId="53" xfId="453" applyNumberFormat="1" applyFont="1" applyFill="1" applyBorder="1"/>
    <xf numFmtId="8" fontId="73" fillId="27" borderId="46" xfId="450" applyNumberFormat="1" applyFont="1" applyFill="1" applyBorder="1"/>
    <xf numFmtId="165" fontId="73" fillId="27" borderId="121" xfId="48" applyNumberFormat="1" applyFont="1" applyFill="1" applyBorder="1"/>
    <xf numFmtId="10" fontId="73" fillId="27" borderId="46" xfId="80" applyNumberFormat="1" applyFont="1" applyFill="1" applyBorder="1"/>
    <xf numFmtId="8" fontId="73" fillId="27" borderId="52" xfId="450" applyNumberFormat="1" applyFont="1" applyFill="1" applyBorder="1"/>
    <xf numFmtId="6" fontId="72" fillId="28" borderId="52" xfId="450" applyNumberFormat="1" applyFont="1" applyFill="1" applyBorder="1"/>
    <xf numFmtId="169" fontId="126" fillId="37" borderId="46" xfId="78" applyNumberFormat="1" applyFont="1" applyFill="1" applyBorder="1"/>
    <xf numFmtId="170" fontId="126" fillId="37" borderId="52" xfId="76" applyNumberFormat="1" applyFont="1" applyFill="1" applyBorder="1"/>
    <xf numFmtId="8" fontId="74" fillId="0" borderId="52" xfId="450" applyNumberFormat="1" applyFont="1" applyBorder="1"/>
    <xf numFmtId="10" fontId="73" fillId="0" borderId="46" xfId="451" applyNumberFormat="1" applyFont="1" applyFill="1" applyBorder="1"/>
    <xf numFmtId="44" fontId="72" fillId="0" borderId="46" xfId="450" applyNumberFormat="1" applyFont="1" applyBorder="1"/>
    <xf numFmtId="0" fontId="72" fillId="29" borderId="132" xfId="450" applyFont="1" applyFill="1" applyBorder="1" applyAlignment="1">
      <alignment horizontal="left"/>
    </xf>
    <xf numFmtId="165" fontId="72" fillId="29" borderId="10" xfId="72" applyNumberFormat="1" applyFont="1" applyFill="1" applyBorder="1" applyAlignment="1">
      <alignment horizontal="left"/>
    </xf>
    <xf numFmtId="165" fontId="72" fillId="29" borderId="132" xfId="452" applyNumberFormat="1" applyFont="1" applyFill="1" applyBorder="1"/>
    <xf numFmtId="165" fontId="72" fillId="29" borderId="43" xfId="452" applyNumberFormat="1" applyFont="1" applyFill="1" applyBorder="1"/>
    <xf numFmtId="170" fontId="72" fillId="29" borderId="43" xfId="452" applyNumberFormat="1" applyFont="1" applyFill="1" applyBorder="1"/>
    <xf numFmtId="170" fontId="72" fillId="29" borderId="34" xfId="452" applyNumberFormat="1" applyFont="1" applyFill="1" applyBorder="1"/>
    <xf numFmtId="43" fontId="72" fillId="29" borderId="68" xfId="452" applyFont="1" applyFill="1" applyBorder="1"/>
    <xf numFmtId="43" fontId="72" fillId="29" borderId="25" xfId="452" applyFont="1" applyFill="1" applyBorder="1"/>
    <xf numFmtId="2" fontId="72" fillId="29" borderId="25" xfId="450" applyNumberFormat="1" applyFont="1" applyFill="1" applyBorder="1"/>
    <xf numFmtId="170" fontId="72" fillId="29" borderId="25" xfId="452" applyNumberFormat="1" applyFont="1" applyFill="1" applyBorder="1"/>
    <xf numFmtId="170" fontId="72" fillId="29" borderId="44" xfId="452" applyNumberFormat="1" applyFont="1" applyFill="1" applyBorder="1"/>
    <xf numFmtId="8" fontId="72" fillId="29" borderId="68" xfId="452" applyNumberFormat="1" applyFont="1" applyFill="1" applyBorder="1"/>
    <xf numFmtId="8" fontId="72" fillId="29" borderId="25" xfId="452" applyNumberFormat="1" applyFont="1" applyFill="1" applyBorder="1"/>
    <xf numFmtId="8" fontId="72" fillId="29" borderId="25" xfId="450" applyNumberFormat="1" applyFont="1" applyFill="1" applyBorder="1"/>
    <xf numFmtId="170" fontId="72" fillId="29" borderId="68" xfId="450" applyNumberFormat="1" applyFont="1" applyFill="1" applyBorder="1"/>
    <xf numFmtId="170" fontId="72" fillId="29" borderId="25" xfId="450" applyNumberFormat="1" applyFont="1" applyFill="1" applyBorder="1"/>
    <xf numFmtId="170" fontId="72" fillId="29" borderId="44" xfId="450" applyNumberFormat="1" applyFont="1" applyFill="1" applyBorder="1"/>
    <xf numFmtId="6" fontId="72" fillId="29" borderId="68" xfId="451" applyNumberFormat="1" applyFont="1" applyFill="1" applyBorder="1"/>
    <xf numFmtId="6" fontId="72" fillId="29" borderId="25" xfId="451" applyNumberFormat="1" applyFont="1" applyFill="1" applyBorder="1"/>
    <xf numFmtId="6" fontId="72" fillId="29" borderId="44" xfId="451" applyNumberFormat="1" applyFont="1" applyFill="1" applyBorder="1"/>
    <xf numFmtId="6" fontId="79" fillId="29" borderId="68" xfId="450" applyNumberFormat="1" applyFont="1" applyFill="1" applyBorder="1"/>
    <xf numFmtId="0" fontId="72" fillId="29" borderId="25" xfId="450" applyFont="1" applyFill="1" applyBorder="1"/>
    <xf numFmtId="164" fontId="72" fillId="29" borderId="25" xfId="450" applyNumberFormat="1" applyFont="1" applyFill="1" applyBorder="1"/>
    <xf numFmtId="6" fontId="72" fillId="29" borderId="44" xfId="450" applyNumberFormat="1" applyFont="1" applyFill="1" applyBorder="1"/>
    <xf numFmtId="165" fontId="72" fillId="29" borderId="68" xfId="452" applyNumberFormat="1" applyFont="1" applyFill="1" applyBorder="1"/>
    <xf numFmtId="9" fontId="72" fillId="29" borderId="25" xfId="451" applyFont="1" applyFill="1" applyBorder="1"/>
    <xf numFmtId="6" fontId="72" fillId="29" borderId="25" xfId="450" applyNumberFormat="1" applyFont="1" applyFill="1" applyBorder="1"/>
    <xf numFmtId="165" fontId="71" fillId="62" borderId="122" xfId="48" applyNumberFormat="1" applyFont="1" applyFill="1" applyBorder="1" applyAlignment="1">
      <alignment vertical="top"/>
    </xf>
    <xf numFmtId="6" fontId="71" fillId="29" borderId="53" xfId="450" applyNumberFormat="1" applyFont="1" applyFill="1" applyBorder="1"/>
    <xf numFmtId="9" fontId="73" fillId="29" borderId="46" xfId="451" applyFont="1" applyFill="1" applyBorder="1"/>
    <xf numFmtId="164" fontId="72" fillId="29" borderId="46" xfId="450" applyNumberFormat="1" applyFont="1" applyFill="1" applyBorder="1"/>
    <xf numFmtId="8" fontId="73" fillId="29" borderId="52" xfId="450" applyNumberFormat="1" applyFont="1" applyFill="1" applyBorder="1"/>
    <xf numFmtId="164" fontId="71" fillId="36" borderId="53" xfId="453" applyNumberFormat="1" applyFont="1" applyFill="1" applyBorder="1"/>
    <xf numFmtId="10" fontId="73" fillId="36" borderId="46" xfId="451" applyNumberFormat="1" applyFont="1" applyFill="1" applyBorder="1"/>
    <xf numFmtId="8" fontId="73" fillId="36" borderId="46" xfId="450" applyNumberFormat="1" applyFont="1" applyFill="1" applyBorder="1"/>
    <xf numFmtId="6" fontId="74" fillId="36" borderId="52" xfId="450" applyNumberFormat="1" applyFont="1" applyFill="1" applyBorder="1"/>
    <xf numFmtId="9" fontId="75" fillId="0" borderId="0" xfId="80" applyFont="1"/>
    <xf numFmtId="8" fontId="72" fillId="0" borderId="0" xfId="450" applyNumberFormat="1" applyFont="1"/>
    <xf numFmtId="0" fontId="72" fillId="47" borderId="46" xfId="72" applyNumberFormat="1" applyFont="1" applyFill="1" applyBorder="1" applyAlignment="1" applyProtection="1">
      <alignment horizontal="left"/>
    </xf>
    <xf numFmtId="0" fontId="76" fillId="0" borderId="0" xfId="431" applyFont="1" applyAlignment="1">
      <alignment wrapText="1"/>
    </xf>
    <xf numFmtId="165" fontId="74" fillId="0" borderId="0" xfId="438" applyNumberFormat="1" applyFont="1"/>
    <xf numFmtId="164" fontId="98" fillId="0" borderId="0" xfId="439" applyNumberFormat="1" applyFont="1"/>
    <xf numFmtId="0" fontId="101" fillId="0" borderId="0" xfId="431" applyFont="1"/>
    <xf numFmtId="0" fontId="105" fillId="0" borderId="0" xfId="431" applyFont="1"/>
    <xf numFmtId="37" fontId="72" fillId="0" borderId="70" xfId="432" applyNumberFormat="1" applyFont="1" applyFill="1" applyBorder="1" applyAlignment="1">
      <alignment horizontal="right"/>
    </xf>
    <xf numFmtId="0" fontId="76" fillId="0" borderId="0" xfId="431" applyFont="1" applyAlignment="1">
      <alignment vertical="top" wrapText="1"/>
    </xf>
    <xf numFmtId="0" fontId="78" fillId="42" borderId="0" xfId="431" applyFont="1" applyFill="1" applyAlignment="1">
      <alignment vertical="top" wrapText="1"/>
    </xf>
    <xf numFmtId="164" fontId="72" fillId="41" borderId="98" xfId="0" applyNumberFormat="1" applyFont="1" applyFill="1" applyBorder="1"/>
    <xf numFmtId="165" fontId="72" fillId="41" borderId="98" xfId="438" applyNumberFormat="1" applyFont="1" applyFill="1" applyBorder="1" applyProtection="1"/>
    <xf numFmtId="168" fontId="74" fillId="53" borderId="133" xfId="76" applyNumberFormat="1" applyFont="1" applyFill="1" applyBorder="1" applyAlignment="1">
      <alignment horizontal="center" vertical="top" wrapText="1"/>
    </xf>
    <xf numFmtId="9" fontId="97" fillId="52" borderId="46" xfId="92" applyFont="1" applyFill="1" applyBorder="1" applyAlignment="1">
      <alignment horizontal="center"/>
    </xf>
    <xf numFmtId="0" fontId="74" fillId="40" borderId="133" xfId="0" applyFont="1" applyFill="1" applyBorder="1" applyAlignment="1">
      <alignment horizontal="center" vertical="top" wrapText="1"/>
    </xf>
    <xf numFmtId="0" fontId="74" fillId="40" borderId="133" xfId="433" applyFont="1" applyFill="1" applyBorder="1" applyAlignment="1">
      <alignment horizontal="centerContinuous" vertical="top" wrapText="1"/>
    </xf>
    <xf numFmtId="0" fontId="74" fillId="40" borderId="133" xfId="439" applyNumberFormat="1" applyFont="1" applyFill="1" applyBorder="1" applyAlignment="1" applyProtection="1">
      <alignment horizontal="left" vertical="top" wrapText="1"/>
    </xf>
    <xf numFmtId="0" fontId="74" fillId="53" borderId="133" xfId="433" applyFont="1" applyFill="1" applyBorder="1" applyAlignment="1">
      <alignment horizontal="centerContinuous" vertical="top" wrapText="1"/>
    </xf>
    <xf numFmtId="0" fontId="74" fillId="53" borderId="134" xfId="433" applyFont="1" applyFill="1" applyBorder="1" applyAlignment="1">
      <alignment vertical="top" wrapText="1"/>
    </xf>
    <xf numFmtId="9" fontId="72" fillId="49" borderId="46" xfId="92" applyFont="1" applyFill="1" applyBorder="1" applyAlignment="1" applyProtection="1">
      <alignment horizontal="center"/>
    </xf>
    <xf numFmtId="44" fontId="72" fillId="49" borderId="46" xfId="439" applyFont="1" applyFill="1" applyBorder="1" applyAlignment="1" applyProtection="1">
      <alignment horizontal="centerContinuous"/>
    </xf>
    <xf numFmtId="44" fontId="72" fillId="49" borderId="46" xfId="439" applyFont="1" applyFill="1" applyBorder="1" applyAlignment="1" applyProtection="1"/>
    <xf numFmtId="164" fontId="72" fillId="52" borderId="46" xfId="439" applyNumberFormat="1" applyFont="1" applyFill="1" applyBorder="1" applyAlignment="1">
      <alignment horizontal="centerContinuous"/>
    </xf>
    <xf numFmtId="164" fontId="72" fillId="52" borderId="46" xfId="439" applyNumberFormat="1" applyFont="1" applyFill="1" applyBorder="1" applyAlignment="1"/>
    <xf numFmtId="0" fontId="60" fillId="49" borderId="46" xfId="0" applyFont="1" applyFill="1" applyBorder="1" applyAlignment="1">
      <alignment vertical="center"/>
    </xf>
    <xf numFmtId="164" fontId="70" fillId="41" borderId="46" xfId="439" applyNumberFormat="1" applyFont="1" applyFill="1" applyBorder="1" applyProtection="1"/>
    <xf numFmtId="165" fontId="70" fillId="41" borderId="46" xfId="438" applyNumberFormat="1" applyFont="1" applyFill="1" applyBorder="1" applyProtection="1"/>
    <xf numFmtId="170" fontId="70" fillId="41" borderId="46" xfId="438" applyNumberFormat="1" applyFont="1" applyFill="1" applyBorder="1" applyProtection="1"/>
    <xf numFmtId="9" fontId="97" fillId="49" borderId="46" xfId="92" applyFont="1" applyFill="1" applyBorder="1" applyAlignment="1" applyProtection="1">
      <alignment horizontal="center"/>
    </xf>
    <xf numFmtId="0" fontId="73" fillId="41" borderId="135" xfId="433" applyFont="1" applyFill="1" applyBorder="1" applyAlignment="1">
      <alignment horizontal="center" vertical="top" wrapText="1"/>
    </xf>
    <xf numFmtId="0" fontId="73" fillId="41" borderId="133" xfId="433" applyFont="1" applyFill="1" applyBorder="1" applyAlignment="1">
      <alignment horizontal="center" vertical="top" wrapText="1"/>
    </xf>
    <xf numFmtId="0" fontId="73" fillId="41" borderId="46" xfId="433" applyFont="1" applyFill="1" applyBorder="1" applyAlignment="1">
      <alignment horizontal="center" vertical="top" wrapText="1"/>
    </xf>
    <xf numFmtId="0" fontId="74" fillId="40" borderId="46" xfId="0" applyFont="1" applyFill="1" applyBorder="1" applyAlignment="1">
      <alignment horizontal="center" vertical="top" wrapText="1"/>
    </xf>
    <xf numFmtId="0" fontId="74" fillId="40" borderId="46" xfId="433" applyFont="1" applyFill="1" applyBorder="1" applyAlignment="1">
      <alignment horizontal="centerContinuous" vertical="top" wrapText="1"/>
    </xf>
    <xf numFmtId="0" fontId="74" fillId="40" borderId="46" xfId="439" applyNumberFormat="1" applyFont="1" applyFill="1" applyBorder="1" applyAlignment="1" applyProtection="1">
      <alignment horizontal="left" vertical="top" wrapText="1"/>
    </xf>
    <xf numFmtId="168" fontId="74" fillId="53" borderId="46" xfId="76" applyNumberFormat="1" applyFont="1" applyFill="1" applyBorder="1" applyAlignment="1">
      <alignment horizontal="center" vertical="top" wrapText="1"/>
    </xf>
    <xf numFmtId="0" fontId="74" fillId="53" borderId="46" xfId="433" applyFont="1" applyFill="1" applyBorder="1" applyAlignment="1">
      <alignment horizontal="centerContinuous" vertical="top" wrapText="1"/>
    </xf>
    <xf numFmtId="0" fontId="74" fillId="53" borderId="46" xfId="433" applyFont="1" applyFill="1" applyBorder="1" applyAlignment="1">
      <alignment vertical="top" wrapText="1"/>
    </xf>
    <xf numFmtId="165" fontId="72" fillId="41" borderId="89" xfId="438" applyNumberFormat="1" applyFont="1" applyFill="1" applyBorder="1" applyProtection="1"/>
    <xf numFmtId="164" fontId="70" fillId="41" borderId="97" xfId="0" applyNumberFormat="1" applyFont="1" applyFill="1" applyBorder="1" applyAlignment="1">
      <alignment horizontal="center"/>
    </xf>
    <xf numFmtId="0" fontId="113" fillId="45" borderId="140" xfId="72" applyNumberFormat="1" applyFont="1" applyFill="1" applyBorder="1" applyAlignment="1" applyProtection="1">
      <alignment horizontal="left"/>
    </xf>
    <xf numFmtId="172" fontId="98" fillId="0" borderId="0" xfId="431" applyNumberFormat="1" applyFont="1"/>
    <xf numFmtId="164" fontId="82" fillId="0" borderId="0" xfId="439" applyNumberFormat="1" applyFont="1" applyFill="1" applyProtection="1"/>
    <xf numFmtId="164" fontId="124" fillId="0" borderId="0" xfId="439" applyNumberFormat="1" applyFont="1" applyBorder="1"/>
    <xf numFmtId="0" fontId="117" fillId="54" borderId="23" xfId="0" applyFont="1" applyFill="1" applyBorder="1" applyAlignment="1">
      <alignment horizontal="center" wrapText="1"/>
    </xf>
    <xf numFmtId="164" fontId="104" fillId="54" borderId="23" xfId="0" applyNumberFormat="1" applyFont="1" applyFill="1" applyBorder="1"/>
    <xf numFmtId="9" fontId="0" fillId="0" borderId="141" xfId="92" applyFont="1" applyFill="1" applyBorder="1"/>
    <xf numFmtId="9" fontId="0" fillId="0" borderId="142" xfId="92" applyFont="1" applyFill="1" applyBorder="1"/>
    <xf numFmtId="0" fontId="60" fillId="0" borderId="48" xfId="0" applyFont="1" applyBorder="1" applyAlignment="1">
      <alignment wrapText="1"/>
    </xf>
    <xf numFmtId="0" fontId="60" fillId="0" borderId="35" xfId="0" applyFont="1" applyBorder="1" applyAlignment="1">
      <alignment wrapText="1"/>
    </xf>
    <xf numFmtId="0" fontId="60" fillId="0" borderId="36" xfId="0" applyFont="1" applyBorder="1" applyAlignment="1">
      <alignment wrapText="1"/>
    </xf>
    <xf numFmtId="164" fontId="0" fillId="0" borderId="53" xfId="439" applyNumberFormat="1" applyFont="1" applyBorder="1"/>
    <xf numFmtId="9" fontId="0" fillId="0" borderId="52" xfId="92" applyFont="1" applyBorder="1"/>
    <xf numFmtId="164" fontId="0" fillId="0" borderId="143" xfId="439" applyNumberFormat="1" applyFont="1" applyBorder="1"/>
    <xf numFmtId="9" fontId="0" fillId="0" borderId="126" xfId="92" applyFont="1" applyBorder="1"/>
    <xf numFmtId="164" fontId="60" fillId="0" borderId="144" xfId="0" applyNumberFormat="1" applyFont="1" applyBorder="1"/>
    <xf numFmtId="0" fontId="0" fillId="0" borderId="10" xfId="0" applyBorder="1"/>
    <xf numFmtId="0" fontId="0" fillId="0" borderId="142" xfId="0" applyBorder="1"/>
    <xf numFmtId="0" fontId="120" fillId="0" borderId="46" xfId="454" applyFont="1" applyBorder="1" applyAlignment="1">
      <alignment vertical="center" wrapText="1"/>
    </xf>
    <xf numFmtId="0" fontId="121" fillId="48" borderId="46" xfId="454" applyFont="1" applyFill="1" applyBorder="1"/>
    <xf numFmtId="3" fontId="122" fillId="45" borderId="46" xfId="454" applyNumberFormat="1" applyFont="1" applyFill="1" applyBorder="1"/>
    <xf numFmtId="3" fontId="122" fillId="57" borderId="46" xfId="454" applyNumberFormat="1" applyFont="1" applyFill="1" applyBorder="1"/>
    <xf numFmtId="165" fontId="121" fillId="45" borderId="46" xfId="455" applyNumberFormat="1" applyFont="1" applyFill="1" applyBorder="1"/>
    <xf numFmtId="165" fontId="121" fillId="0" borderId="46" xfId="455" applyNumberFormat="1" applyFont="1" applyBorder="1"/>
    <xf numFmtId="165" fontId="121" fillId="0" borderId="46" xfId="455" applyNumberFormat="1" applyFont="1" applyFill="1" applyBorder="1"/>
    <xf numFmtId="0" fontId="119" fillId="49" borderId="46" xfId="454" applyFont="1" applyFill="1" applyBorder="1" applyAlignment="1">
      <alignment horizontal="center" vertical="center"/>
    </xf>
    <xf numFmtId="0" fontId="119" fillId="55" borderId="46" xfId="454" applyFont="1" applyFill="1" applyBorder="1" applyAlignment="1">
      <alignment horizontal="center" vertical="center"/>
    </xf>
    <xf numFmtId="0" fontId="120" fillId="25" borderId="46" xfId="454" applyFont="1" applyFill="1" applyBorder="1" applyAlignment="1">
      <alignment vertical="center" wrapText="1"/>
    </xf>
    <xf numFmtId="165" fontId="121" fillId="58" borderId="46" xfId="455" applyNumberFormat="1" applyFont="1" applyFill="1" applyBorder="1"/>
    <xf numFmtId="0" fontId="1" fillId="48" borderId="46" xfId="454" applyFill="1" applyBorder="1"/>
    <xf numFmtId="164" fontId="104" fillId="54" borderId="145" xfId="0" applyNumberFormat="1" applyFont="1" applyFill="1" applyBorder="1"/>
    <xf numFmtId="9" fontId="0" fillId="0" borderId="147" xfId="92" applyFont="1" applyFill="1" applyBorder="1"/>
    <xf numFmtId="9" fontId="0" fillId="0" borderId="122" xfId="92" applyFont="1" applyFill="1" applyBorder="1"/>
    <xf numFmtId="0" fontId="117" fillId="54" borderId="62" xfId="0" applyFont="1" applyFill="1" applyBorder="1" applyAlignment="1">
      <alignment horizontal="center" wrapText="1"/>
    </xf>
    <xf numFmtId="164" fontId="104" fillId="54" borderId="59" xfId="0" applyNumberFormat="1" applyFont="1" applyFill="1" applyBorder="1"/>
    <xf numFmtId="164" fontId="0" fillId="0" borderId="116" xfId="92" applyNumberFormat="1" applyFont="1" applyBorder="1"/>
    <xf numFmtId="164" fontId="104" fillId="54" borderId="148" xfId="0" applyNumberFormat="1" applyFont="1" applyFill="1" applyBorder="1"/>
    <xf numFmtId="2" fontId="0" fillId="47" borderId="46" xfId="0" applyNumberFormat="1" applyFill="1" applyBorder="1"/>
    <xf numFmtId="44" fontId="0" fillId="47" borderId="46" xfId="439" applyFont="1" applyFill="1" applyBorder="1"/>
    <xf numFmtId="164" fontId="60" fillId="0" borderId="62" xfId="0" applyNumberFormat="1" applyFont="1" applyBorder="1"/>
    <xf numFmtId="165" fontId="60" fillId="0" borderId="62" xfId="438" applyNumberFormat="1" applyFont="1" applyBorder="1"/>
    <xf numFmtId="164" fontId="0" fillId="0" borderId="0" xfId="92" applyNumberFormat="1" applyFont="1"/>
    <xf numFmtId="169" fontId="0" fillId="47" borderId="0" xfId="0" applyNumberFormat="1" applyFill="1"/>
    <xf numFmtId="164" fontId="0" fillId="0" borderId="68" xfId="439" applyNumberFormat="1" applyFont="1" applyBorder="1"/>
    <xf numFmtId="164" fontId="0" fillId="0" borderId="25" xfId="0" applyNumberFormat="1" applyBorder="1"/>
    <xf numFmtId="9" fontId="0" fillId="0" borderId="44" xfId="92" applyFont="1" applyBorder="1"/>
    <xf numFmtId="9" fontId="0" fillId="0" borderId="46" xfId="92" applyFont="1" applyFill="1" applyBorder="1"/>
    <xf numFmtId="9" fontId="0" fillId="0" borderId="52" xfId="92" applyFont="1" applyFill="1" applyBorder="1"/>
    <xf numFmtId="0" fontId="0" fillId="0" borderId="59" xfId="0" applyBorder="1"/>
    <xf numFmtId="0" fontId="0" fillId="0" borderId="148" xfId="0" applyBorder="1"/>
    <xf numFmtId="0" fontId="0" fillId="0" borderId="23" xfId="0" applyBorder="1"/>
    <xf numFmtId="0" fontId="0" fillId="0" borderId="145" xfId="0" applyBorder="1"/>
    <xf numFmtId="0" fontId="60" fillId="0" borderId="57" xfId="0" applyFont="1" applyBorder="1"/>
    <xf numFmtId="0" fontId="0" fillId="0" borderId="52" xfId="0" applyBorder="1"/>
    <xf numFmtId="164" fontId="104" fillId="54" borderId="56" xfId="0" applyNumberFormat="1" applyFont="1" applyFill="1" applyBorder="1"/>
    <xf numFmtId="0" fontId="41" fillId="0" borderId="24" xfId="0" applyFont="1" applyBorder="1" applyAlignment="1">
      <alignment wrapText="1"/>
    </xf>
    <xf numFmtId="0" fontId="41" fillId="0" borderId="131" xfId="0" applyFont="1" applyBorder="1" applyAlignment="1">
      <alignment wrapText="1"/>
    </xf>
    <xf numFmtId="164" fontId="60" fillId="49" borderId="23" xfId="439" applyNumberFormat="1" applyFont="1" applyFill="1" applyBorder="1" applyAlignment="1" applyProtection="1">
      <alignment horizontal="right" vertical="top"/>
    </xf>
    <xf numFmtId="0" fontId="60" fillId="30" borderId="46" xfId="0" applyFont="1" applyFill="1" applyBorder="1"/>
    <xf numFmtId="164" fontId="0" fillId="30" borderId="46" xfId="439" applyNumberFormat="1" applyFont="1" applyFill="1" applyBorder="1"/>
    <xf numFmtId="9" fontId="60" fillId="30" borderId="46" xfId="0" applyNumberFormat="1" applyFont="1" applyFill="1" applyBorder="1" applyAlignment="1">
      <alignment horizontal="center"/>
    </xf>
    <xf numFmtId="164" fontId="0" fillId="30" borderId="46" xfId="0" applyNumberFormat="1" applyFill="1" applyBorder="1" applyAlignment="1">
      <alignment horizontal="left" indent="1"/>
    </xf>
    <xf numFmtId="164" fontId="60" fillId="0" borderId="0" xfId="439" applyNumberFormat="1" applyFont="1" applyFill="1" applyBorder="1" applyProtection="1"/>
    <xf numFmtId="42" fontId="1" fillId="0" borderId="0" xfId="438" applyNumberFormat="1" applyFont="1" applyFill="1" applyBorder="1" applyProtection="1"/>
    <xf numFmtId="42" fontId="1" fillId="45" borderId="46" xfId="443" applyNumberFormat="1" applyFont="1" applyFill="1" applyBorder="1" applyProtection="1"/>
    <xf numFmtId="42" fontId="1" fillId="29" borderId="46" xfId="443" applyNumberFormat="1" applyFont="1" applyFill="1" applyBorder="1" applyProtection="1"/>
    <xf numFmtId="42" fontId="1" fillId="0" borderId="46" xfId="443" applyNumberFormat="1" applyFont="1" applyBorder="1" applyProtection="1"/>
    <xf numFmtId="42" fontId="1" fillId="0" borderId="46" xfId="443" applyNumberFormat="1" applyFont="1" applyFill="1" applyBorder="1" applyProtection="1"/>
    <xf numFmtId="9" fontId="41" fillId="47" borderId="0" xfId="0" applyNumberFormat="1" applyFont="1" applyFill="1" applyAlignment="1">
      <alignment horizontal="left"/>
    </xf>
    <xf numFmtId="2" fontId="60" fillId="47" borderId="46" xfId="0" applyNumberFormat="1" applyFont="1" applyFill="1" applyBorder="1"/>
    <xf numFmtId="44" fontId="60" fillId="47" borderId="46" xfId="439" applyFont="1" applyFill="1" applyBorder="1"/>
    <xf numFmtId="44" fontId="60" fillId="47" borderId="46" xfId="0" applyNumberFormat="1" applyFont="1" applyFill="1" applyBorder="1"/>
    <xf numFmtId="2" fontId="60" fillId="47" borderId="46" xfId="439" applyNumberFormat="1" applyFont="1" applyFill="1" applyBorder="1"/>
    <xf numFmtId="164" fontId="0" fillId="0" borderId="23" xfId="439" applyNumberFormat="1" applyFont="1" applyBorder="1"/>
    <xf numFmtId="0" fontId="60" fillId="0" borderId="23" xfId="0" applyFont="1" applyBorder="1" applyAlignment="1">
      <alignment wrapText="1"/>
    </xf>
    <xf numFmtId="164" fontId="0" fillId="0" borderId="145" xfId="439" applyNumberFormat="1" applyFont="1" applyBorder="1"/>
    <xf numFmtId="0" fontId="60" fillId="45" borderId="0" xfId="0" applyFont="1" applyFill="1"/>
    <xf numFmtId="0" fontId="118" fillId="45" borderId="0" xfId="0" applyFont="1" applyFill="1"/>
    <xf numFmtId="0" fontId="117" fillId="45" borderId="0" xfId="0" applyFont="1" applyFill="1"/>
    <xf numFmtId="0" fontId="123" fillId="45" borderId="46" xfId="0" applyFont="1" applyFill="1" applyBorder="1" applyAlignment="1">
      <alignment wrapText="1"/>
    </xf>
    <xf numFmtId="0" fontId="123" fillId="45" borderId="46" xfId="0" applyFont="1" applyFill="1" applyBorder="1"/>
    <xf numFmtId="164" fontId="124" fillId="45" borderId="46" xfId="439" applyNumberFormat="1" applyFont="1" applyFill="1" applyBorder="1"/>
    <xf numFmtId="164" fontId="124" fillId="45" borderId="0" xfId="439" applyNumberFormat="1" applyFont="1" applyFill="1" applyBorder="1"/>
    <xf numFmtId="0" fontId="60" fillId="45" borderId="46" xfId="0" applyFont="1" applyFill="1" applyBorder="1" applyAlignment="1">
      <alignment vertical="center" wrapText="1"/>
    </xf>
    <xf numFmtId="2" fontId="0" fillId="45" borderId="46" xfId="0" applyNumberFormat="1" applyFill="1" applyBorder="1"/>
    <xf numFmtId="44" fontId="0" fillId="45" borderId="46" xfId="439" applyFont="1" applyFill="1" applyBorder="1"/>
    <xf numFmtId="43" fontId="0" fillId="45" borderId="46" xfId="438" applyFont="1" applyFill="1" applyBorder="1"/>
    <xf numFmtId="2" fontId="0" fillId="45" borderId="115" xfId="0" applyNumberFormat="1" applyFill="1" applyBorder="1"/>
    <xf numFmtId="44" fontId="0" fillId="45" borderId="115" xfId="439" applyFont="1" applyFill="1" applyBorder="1"/>
    <xf numFmtId="43" fontId="0" fillId="45" borderId="115" xfId="438" applyFont="1" applyFill="1" applyBorder="1"/>
    <xf numFmtId="2" fontId="60" fillId="45" borderId="116" xfId="0" applyNumberFormat="1" applyFont="1" applyFill="1" applyBorder="1"/>
    <xf numFmtId="44" fontId="60" fillId="45" borderId="116" xfId="439" applyFont="1" applyFill="1" applyBorder="1"/>
    <xf numFmtId="2" fontId="60" fillId="45" borderId="116" xfId="439" applyNumberFormat="1" applyFont="1" applyFill="1" applyBorder="1"/>
    <xf numFmtId="2" fontId="60" fillId="45" borderId="46" xfId="0" applyNumberFormat="1" applyFont="1" applyFill="1" applyBorder="1"/>
    <xf numFmtId="44" fontId="60" fillId="45" borderId="46" xfId="439" applyFont="1" applyFill="1" applyBorder="1"/>
    <xf numFmtId="2" fontId="60" fillId="45" borderId="46" xfId="439" applyNumberFormat="1" applyFont="1" applyFill="1" applyBorder="1"/>
    <xf numFmtId="0" fontId="41" fillId="45" borderId="46" xfId="0" applyFont="1" applyFill="1" applyBorder="1" applyAlignment="1">
      <alignment vertical="center" wrapText="1"/>
    </xf>
    <xf numFmtId="0" fontId="41" fillId="45" borderId="23" xfId="0" applyFont="1" applyFill="1" applyBorder="1" applyAlignment="1">
      <alignment vertical="center" wrapText="1"/>
    </xf>
    <xf numFmtId="0" fontId="106" fillId="45" borderId="120" xfId="0" applyFont="1" applyFill="1" applyBorder="1" applyAlignment="1">
      <alignment wrapText="1"/>
    </xf>
    <xf numFmtId="0" fontId="60" fillId="45" borderId="46" xfId="0" applyFont="1" applyFill="1" applyBorder="1" applyAlignment="1">
      <alignment wrapText="1"/>
    </xf>
    <xf numFmtId="0" fontId="0" fillId="45" borderId="46" xfId="0" applyFill="1" applyBorder="1"/>
    <xf numFmtId="0" fontId="0" fillId="45" borderId="121" xfId="0" applyFill="1" applyBorder="1"/>
    <xf numFmtId="9" fontId="0" fillId="45" borderId="116" xfId="92" applyFont="1" applyFill="1" applyBorder="1"/>
    <xf numFmtId="164" fontId="0" fillId="45" borderId="116" xfId="439" applyNumberFormat="1" applyFont="1" applyFill="1" applyBorder="1"/>
    <xf numFmtId="9" fontId="0" fillId="45" borderId="46" xfId="92" applyFont="1" applyFill="1" applyBorder="1"/>
    <xf numFmtId="164" fontId="0" fillId="45" borderId="46" xfId="439" applyNumberFormat="1" applyFont="1" applyFill="1" applyBorder="1"/>
    <xf numFmtId="9" fontId="0" fillId="45" borderId="115" xfId="92" applyFont="1" applyFill="1" applyBorder="1"/>
    <xf numFmtId="164" fontId="0" fillId="45" borderId="115" xfId="439" applyNumberFormat="1" applyFont="1" applyFill="1" applyBorder="1"/>
    <xf numFmtId="0" fontId="60" fillId="45" borderId="116" xfId="0" applyFont="1" applyFill="1" applyBorder="1"/>
    <xf numFmtId="0" fontId="60" fillId="45" borderId="56" xfId="0" applyFont="1" applyFill="1" applyBorder="1"/>
    <xf numFmtId="0" fontId="106" fillId="45" borderId="122" xfId="0" applyFont="1" applyFill="1" applyBorder="1"/>
    <xf numFmtId="164" fontId="0" fillId="45" borderId="146" xfId="92" applyNumberFormat="1" applyFont="1" applyFill="1" applyBorder="1"/>
    <xf numFmtId="0" fontId="41" fillId="45" borderId="0" xfId="0" applyFont="1" applyFill="1" applyAlignment="1">
      <alignment horizontal="right"/>
    </xf>
    <xf numFmtId="164" fontId="0" fillId="45" borderId="53" xfId="439" applyNumberFormat="1" applyFont="1" applyFill="1" applyBorder="1"/>
    <xf numFmtId="164" fontId="0" fillId="45" borderId="46" xfId="0" applyNumberFormat="1" applyFill="1" applyBorder="1"/>
    <xf numFmtId="9" fontId="0" fillId="45" borderId="52" xfId="92" applyFont="1" applyFill="1" applyBorder="1"/>
    <xf numFmtId="164" fontId="0" fillId="45" borderId="143" xfId="439" applyNumberFormat="1" applyFont="1" applyFill="1" applyBorder="1"/>
    <xf numFmtId="164" fontId="0" fillId="45" borderId="115" xfId="0" applyNumberFormat="1" applyFill="1" applyBorder="1"/>
    <xf numFmtId="9" fontId="0" fillId="45" borderId="126" xfId="92" applyFont="1" applyFill="1" applyBorder="1"/>
    <xf numFmtId="164" fontId="60" fillId="45" borderId="144" xfId="0" applyNumberFormat="1" applyFont="1" applyFill="1" applyBorder="1"/>
    <xf numFmtId="0" fontId="0" fillId="45" borderId="10" xfId="0" applyFill="1" applyBorder="1"/>
    <xf numFmtId="0" fontId="0" fillId="45" borderId="142" xfId="0" applyFill="1" applyBorder="1"/>
    <xf numFmtId="164" fontId="0" fillId="45" borderId="0" xfId="0" applyNumberFormat="1" applyFill="1"/>
    <xf numFmtId="0" fontId="117" fillId="45" borderId="23" xfId="0" applyFont="1" applyFill="1" applyBorder="1" applyAlignment="1">
      <alignment horizontal="center" wrapText="1"/>
    </xf>
    <xf numFmtId="0" fontId="60" fillId="45" borderId="48" xfId="0" applyFont="1" applyFill="1" applyBorder="1" applyAlignment="1">
      <alignment wrapText="1"/>
    </xf>
    <xf numFmtId="0" fontId="60" fillId="45" borderId="35" xfId="0" applyFont="1" applyFill="1" applyBorder="1" applyAlignment="1">
      <alignment wrapText="1"/>
    </xf>
    <xf numFmtId="0" fontId="60" fillId="45" borderId="36" xfId="0" applyFont="1" applyFill="1" applyBorder="1" applyAlignment="1">
      <alignment wrapText="1"/>
    </xf>
    <xf numFmtId="164" fontId="104" fillId="45" borderId="23" xfId="0" applyNumberFormat="1" applyFont="1" applyFill="1" applyBorder="1"/>
    <xf numFmtId="0" fontId="0" fillId="45" borderId="115" xfId="0" applyFill="1" applyBorder="1"/>
    <xf numFmtId="0" fontId="0" fillId="45" borderId="126" xfId="0" applyFill="1" applyBorder="1"/>
    <xf numFmtId="0" fontId="0" fillId="45" borderId="123" xfId="0" applyFill="1" applyBorder="1"/>
    <xf numFmtId="164" fontId="104" fillId="45" borderId="145" xfId="0" applyNumberFormat="1" applyFont="1" applyFill="1" applyBorder="1"/>
    <xf numFmtId="0" fontId="60" fillId="45" borderId="122" xfId="0" applyFont="1" applyFill="1" applyBorder="1"/>
    <xf numFmtId="164" fontId="117" fillId="45" borderId="0" xfId="0" applyNumberFormat="1" applyFont="1" applyFill="1"/>
    <xf numFmtId="44" fontId="60" fillId="45" borderId="46" xfId="0" applyNumberFormat="1" applyFont="1" applyFill="1" applyBorder="1"/>
    <xf numFmtId="9" fontId="0" fillId="45" borderId="0" xfId="0" applyNumberFormat="1" applyFill="1"/>
    <xf numFmtId="2" fontId="60" fillId="45" borderId="0" xfId="0" applyNumberFormat="1" applyFont="1" applyFill="1"/>
    <xf numFmtId="44" fontId="60" fillId="45" borderId="0" xfId="439" applyFont="1" applyFill="1" applyBorder="1"/>
    <xf numFmtId="0" fontId="60" fillId="45" borderId="117" xfId="0" applyFont="1" applyFill="1" applyBorder="1"/>
    <xf numFmtId="44" fontId="0" fillId="45" borderId="46" xfId="439" applyFont="1" applyFill="1" applyBorder="1" applyProtection="1"/>
    <xf numFmtId="43" fontId="0" fillId="45" borderId="46" xfId="438" applyFont="1" applyFill="1" applyBorder="1" applyProtection="1"/>
    <xf numFmtId="44" fontId="0" fillId="45" borderId="115" xfId="439" applyFont="1" applyFill="1" applyBorder="1" applyProtection="1"/>
    <xf numFmtId="43" fontId="0" fillId="45" borderId="115" xfId="438" applyFont="1" applyFill="1" applyBorder="1" applyProtection="1"/>
    <xf numFmtId="44" fontId="60" fillId="45" borderId="116" xfId="439" applyFont="1" applyFill="1" applyBorder="1" applyProtection="1"/>
    <xf numFmtId="2" fontId="60" fillId="45" borderId="116" xfId="439" applyNumberFormat="1" applyFont="1" applyFill="1" applyBorder="1" applyProtection="1"/>
    <xf numFmtId="44" fontId="60" fillId="45" borderId="46" xfId="439" applyFont="1" applyFill="1" applyBorder="1" applyProtection="1"/>
    <xf numFmtId="2" fontId="60" fillId="45" borderId="46" xfId="439" applyNumberFormat="1" applyFont="1" applyFill="1" applyBorder="1" applyProtection="1"/>
    <xf numFmtId="44" fontId="60" fillId="47" borderId="46" xfId="439" applyFont="1" applyFill="1" applyBorder="1" applyProtection="1"/>
    <xf numFmtId="0" fontId="60" fillId="45" borderId="130" xfId="0" applyFont="1" applyFill="1" applyBorder="1" applyAlignment="1">
      <alignment wrapText="1"/>
    </xf>
    <xf numFmtId="0" fontId="60" fillId="45" borderId="31" xfId="0" applyFont="1" applyFill="1" applyBorder="1" applyAlignment="1">
      <alignment wrapText="1"/>
    </xf>
    <xf numFmtId="0" fontId="60" fillId="45" borderId="24" xfId="0" applyFont="1" applyFill="1" applyBorder="1" applyAlignment="1">
      <alignment wrapText="1"/>
    </xf>
    <xf numFmtId="9" fontId="0" fillId="45" borderId="116" xfId="92" applyFont="1" applyFill="1" applyBorder="1" applyProtection="1"/>
    <xf numFmtId="164" fontId="0" fillId="45" borderId="116" xfId="439" applyNumberFormat="1" applyFont="1" applyFill="1" applyBorder="1" applyProtection="1"/>
    <xf numFmtId="164" fontId="0" fillId="45" borderId="38" xfId="439" applyNumberFormat="1" applyFont="1" applyFill="1" applyBorder="1" applyProtection="1"/>
    <xf numFmtId="164" fontId="0" fillId="45" borderId="116" xfId="0" applyNumberFormat="1" applyFill="1" applyBorder="1"/>
    <xf numFmtId="9" fontId="0" fillId="45" borderId="125" xfId="92" applyFont="1" applyFill="1" applyBorder="1" applyProtection="1"/>
    <xf numFmtId="9" fontId="0" fillId="45" borderId="46" xfId="92" applyFont="1" applyFill="1" applyBorder="1" applyProtection="1"/>
    <xf numFmtId="164" fontId="0" fillId="45" borderId="46" xfId="439" applyNumberFormat="1" applyFont="1" applyFill="1" applyBorder="1" applyProtection="1"/>
    <xf numFmtId="164" fontId="0" fillId="45" borderId="53" xfId="439" applyNumberFormat="1" applyFont="1" applyFill="1" applyBorder="1" applyProtection="1"/>
    <xf numFmtId="9" fontId="0" fillId="45" borderId="52" xfId="92" applyFont="1" applyFill="1" applyBorder="1" applyProtection="1"/>
    <xf numFmtId="0" fontId="0" fillId="45" borderId="118" xfId="0" applyFill="1" applyBorder="1"/>
    <xf numFmtId="9" fontId="0" fillId="45" borderId="115" xfId="92" applyFont="1" applyFill="1" applyBorder="1" applyProtection="1"/>
    <xf numFmtId="164" fontId="0" fillId="45" borderId="115" xfId="439" applyNumberFormat="1" applyFont="1" applyFill="1" applyBorder="1" applyProtection="1"/>
    <xf numFmtId="164" fontId="0" fillId="45" borderId="143" xfId="439" applyNumberFormat="1" applyFont="1" applyFill="1" applyBorder="1" applyProtection="1"/>
    <xf numFmtId="9" fontId="0" fillId="45" borderId="126" xfId="92" applyFont="1" applyFill="1" applyBorder="1" applyProtection="1"/>
    <xf numFmtId="164" fontId="0" fillId="45" borderId="146" xfId="92" applyNumberFormat="1" applyFont="1" applyFill="1" applyBorder="1" applyProtection="1"/>
    <xf numFmtId="0" fontId="60" fillId="37" borderId="46" xfId="0" applyFont="1" applyFill="1" applyBorder="1" applyProtection="1">
      <protection locked="0"/>
    </xf>
    <xf numFmtId="9" fontId="125" fillId="37" borderId="46" xfId="0" applyNumberFormat="1" applyFont="1" applyFill="1" applyBorder="1" applyAlignment="1" applyProtection="1">
      <alignment horizontal="center"/>
      <protection locked="0"/>
    </xf>
    <xf numFmtId="0" fontId="60" fillId="37" borderId="46" xfId="0" applyFont="1" applyFill="1" applyBorder="1" applyAlignment="1" applyProtection="1">
      <alignment horizontal="center"/>
      <protection locked="0"/>
    </xf>
    <xf numFmtId="0" fontId="60" fillId="45" borderId="46" xfId="0" applyFont="1" applyFill="1" applyBorder="1"/>
    <xf numFmtId="44" fontId="0" fillId="45" borderId="116" xfId="439" applyFont="1" applyFill="1" applyBorder="1"/>
    <xf numFmtId="0" fontId="60" fillId="45" borderId="23" xfId="0" applyFont="1" applyFill="1" applyBorder="1" applyAlignment="1">
      <alignment vertical="center" wrapText="1"/>
    </xf>
    <xf numFmtId="0" fontId="60" fillId="45" borderId="59" xfId="0" applyFont="1" applyFill="1" applyBorder="1"/>
    <xf numFmtId="0" fontId="0" fillId="45" borderId="116" xfId="0" applyFill="1" applyBorder="1"/>
    <xf numFmtId="0" fontId="0" fillId="45" borderId="56" xfId="0" applyFill="1" applyBorder="1"/>
    <xf numFmtId="169" fontId="0" fillId="45" borderId="0" xfId="0" applyNumberFormat="1" applyFill="1"/>
    <xf numFmtId="164" fontId="0" fillId="45" borderId="56" xfId="439" applyNumberFormat="1" applyFont="1" applyFill="1" applyBorder="1"/>
    <xf numFmtId="0" fontId="0" fillId="45" borderId="23" xfId="0" applyFill="1" applyBorder="1"/>
    <xf numFmtId="10" fontId="0" fillId="45" borderId="0" xfId="92" applyNumberFormat="1" applyFont="1" applyFill="1"/>
    <xf numFmtId="0" fontId="123" fillId="45" borderId="59" xfId="0" applyFont="1" applyFill="1" applyBorder="1"/>
    <xf numFmtId="0" fontId="123" fillId="45" borderId="0" xfId="0" applyFont="1" applyFill="1" applyAlignment="1">
      <alignment wrapText="1"/>
    </xf>
    <xf numFmtId="0" fontId="0" fillId="45" borderId="0" xfId="0" applyFill="1" applyAlignment="1">
      <alignment horizontal="center"/>
    </xf>
    <xf numFmtId="9" fontId="60" fillId="37" borderId="46" xfId="92" applyFont="1" applyFill="1" applyBorder="1" applyAlignment="1" applyProtection="1">
      <alignment horizontal="center" wrapText="1"/>
      <protection locked="0"/>
    </xf>
    <xf numFmtId="0" fontId="0" fillId="45" borderId="62" xfId="0" applyFill="1" applyBorder="1"/>
    <xf numFmtId="0" fontId="60" fillId="45" borderId="116" xfId="0" applyFont="1" applyFill="1" applyBorder="1" applyAlignment="1">
      <alignment vertical="center" wrapText="1"/>
    </xf>
    <xf numFmtId="0" fontId="0" fillId="45" borderId="59" xfId="0" applyFill="1" applyBorder="1"/>
    <xf numFmtId="0" fontId="0" fillId="45" borderId="148" xfId="0" applyFill="1" applyBorder="1"/>
    <xf numFmtId="0" fontId="0" fillId="45" borderId="57" xfId="0" applyFill="1" applyBorder="1"/>
    <xf numFmtId="164" fontId="0" fillId="45" borderId="116" xfId="92" applyNumberFormat="1" applyFont="1" applyFill="1" applyBorder="1"/>
    <xf numFmtId="0" fontId="0" fillId="45" borderId="66" xfId="0" applyFill="1" applyBorder="1"/>
    <xf numFmtId="0" fontId="72" fillId="45" borderId="115" xfId="72" applyNumberFormat="1" applyFont="1" applyFill="1" applyBorder="1" applyAlignment="1" applyProtection="1">
      <alignment horizontal="left"/>
    </xf>
    <xf numFmtId="0" fontId="113" fillId="45" borderId="45" xfId="72" applyNumberFormat="1" applyFont="1" applyFill="1" applyBorder="1" applyAlignment="1" applyProtection="1">
      <alignment horizontal="left"/>
    </xf>
    <xf numFmtId="0" fontId="60" fillId="0" borderId="0" xfId="0" applyFont="1" applyAlignment="1">
      <alignment horizontal="right"/>
    </xf>
    <xf numFmtId="0" fontId="72" fillId="0" borderId="47" xfId="72" applyNumberFormat="1" applyFont="1" applyFill="1" applyBorder="1" applyAlignment="1" applyProtection="1">
      <alignment horizontal="left"/>
    </xf>
    <xf numFmtId="164" fontId="70" fillId="41" borderId="149" xfId="439" applyNumberFormat="1" applyFont="1" applyFill="1" applyBorder="1" applyProtection="1"/>
    <xf numFmtId="164" fontId="70" fillId="41" borderId="109" xfId="439" applyNumberFormat="1" applyFont="1" applyFill="1" applyBorder="1" applyProtection="1"/>
    <xf numFmtId="165" fontId="70" fillId="41" borderId="109" xfId="438" applyNumberFormat="1" applyFont="1" applyFill="1" applyBorder="1" applyProtection="1"/>
    <xf numFmtId="170" fontId="70" fillId="41" borderId="109" xfId="438" applyNumberFormat="1" applyFont="1" applyFill="1" applyBorder="1" applyProtection="1"/>
    <xf numFmtId="9" fontId="72" fillId="49" borderId="109" xfId="92" applyFont="1" applyFill="1" applyBorder="1" applyAlignment="1" applyProtection="1">
      <alignment horizontal="center"/>
    </xf>
    <xf numFmtId="44" fontId="72" fillId="49" borderId="109" xfId="439" applyFont="1" applyFill="1" applyBorder="1" applyAlignment="1" applyProtection="1">
      <alignment horizontal="centerContinuous"/>
    </xf>
    <xf numFmtId="44" fontId="72" fillId="49" borderId="109" xfId="439" applyFont="1" applyFill="1" applyBorder="1" applyAlignment="1" applyProtection="1"/>
    <xf numFmtId="164" fontId="72" fillId="52" borderId="109" xfId="439" applyNumberFormat="1" applyFont="1" applyFill="1" applyBorder="1" applyAlignment="1">
      <alignment horizontal="centerContinuous"/>
    </xf>
    <xf numFmtId="164" fontId="72" fillId="52" borderId="150" xfId="439" applyNumberFormat="1" applyFont="1" applyFill="1" applyBorder="1" applyAlignment="1"/>
    <xf numFmtId="2" fontId="0" fillId="45" borderId="47" xfId="0" applyNumberFormat="1" applyFill="1" applyBorder="1"/>
    <xf numFmtId="44" fontId="0" fillId="45" borderId="47" xfId="439" applyFont="1" applyFill="1" applyBorder="1"/>
    <xf numFmtId="0" fontId="0" fillId="45" borderId="47" xfId="0" applyFill="1" applyBorder="1"/>
    <xf numFmtId="0" fontId="0" fillId="45" borderId="45" xfId="0" applyFill="1" applyBorder="1"/>
    <xf numFmtId="9" fontId="0" fillId="45" borderId="47" xfId="92" applyFont="1" applyFill="1" applyBorder="1"/>
    <xf numFmtId="164" fontId="0" fillId="45" borderId="47" xfId="439" applyNumberFormat="1" applyFont="1" applyFill="1" applyBorder="1"/>
    <xf numFmtId="164" fontId="0" fillId="45" borderId="66" xfId="439" applyNumberFormat="1" applyFont="1" applyFill="1" applyBorder="1"/>
    <xf numFmtId="164" fontId="104" fillId="54" borderId="45" xfId="0" applyNumberFormat="1" applyFont="1" applyFill="1" applyBorder="1"/>
    <xf numFmtId="164" fontId="0" fillId="45" borderId="51" xfId="439" applyNumberFormat="1" applyFont="1" applyFill="1" applyBorder="1"/>
    <xf numFmtId="164" fontId="0" fillId="45" borderId="47" xfId="0" applyNumberFormat="1" applyFill="1" applyBorder="1"/>
    <xf numFmtId="164" fontId="60" fillId="0" borderId="72" xfId="0" applyNumberFormat="1" applyFont="1" applyBorder="1"/>
    <xf numFmtId="165" fontId="60" fillId="0" borderId="72" xfId="438" applyNumberFormat="1" applyFont="1" applyBorder="1"/>
    <xf numFmtId="0" fontId="72" fillId="0" borderId="115" xfId="72" applyNumberFormat="1" applyFont="1" applyFill="1" applyBorder="1" applyAlignment="1" applyProtection="1">
      <alignment horizontal="left"/>
    </xf>
    <xf numFmtId="164" fontId="70" fillId="41" borderId="151" xfId="439" applyNumberFormat="1" applyFont="1" applyFill="1" applyBorder="1" applyProtection="1"/>
    <xf numFmtId="164" fontId="70" fillId="41" borderId="152" xfId="439" applyNumberFormat="1" applyFont="1" applyFill="1" applyBorder="1" applyProtection="1"/>
    <xf numFmtId="165" fontId="70" fillId="41" borderId="152" xfId="438" applyNumberFormat="1" applyFont="1" applyFill="1" applyBorder="1" applyProtection="1"/>
    <xf numFmtId="170" fontId="70" fillId="41" borderId="152" xfId="438" applyNumberFormat="1" applyFont="1" applyFill="1" applyBorder="1" applyProtection="1"/>
    <xf numFmtId="9" fontId="72" fillId="49" borderId="152" xfId="92" applyFont="1" applyFill="1" applyBorder="1" applyAlignment="1" applyProtection="1">
      <alignment horizontal="center"/>
    </xf>
    <xf numFmtId="44" fontId="72" fillId="49" borderId="152" xfId="439" applyFont="1" applyFill="1" applyBorder="1" applyAlignment="1" applyProtection="1">
      <alignment horizontal="centerContinuous"/>
    </xf>
    <xf numFmtId="44" fontId="72" fillId="49" borderId="152" xfId="439" applyFont="1" applyFill="1" applyBorder="1" applyAlignment="1" applyProtection="1"/>
    <xf numFmtId="9" fontId="97" fillId="52" borderId="152" xfId="92" applyFont="1" applyFill="1" applyBorder="1" applyAlignment="1">
      <alignment horizontal="center"/>
    </xf>
    <xf numFmtId="164" fontId="72" fillId="52" borderId="152" xfId="439" applyNumberFormat="1" applyFont="1" applyFill="1" applyBorder="1" applyAlignment="1">
      <alignment horizontal="centerContinuous"/>
    </xf>
    <xf numFmtId="164" fontId="72" fillId="52" borderId="153" xfId="439" applyNumberFormat="1" applyFont="1" applyFill="1" applyBorder="1" applyAlignment="1"/>
    <xf numFmtId="0" fontId="0" fillId="45" borderId="154" xfId="0" applyFill="1" applyBorder="1"/>
    <xf numFmtId="164" fontId="0" fillId="0" borderId="154" xfId="439" applyNumberFormat="1" applyFont="1" applyBorder="1"/>
    <xf numFmtId="0" fontId="0" fillId="0" borderId="154" xfId="0" applyBorder="1"/>
    <xf numFmtId="0" fontId="0" fillId="45" borderId="63" xfId="0" applyFill="1" applyBorder="1"/>
    <xf numFmtId="164" fontId="104" fillId="54" borderId="62" xfId="0" applyNumberFormat="1" applyFont="1" applyFill="1" applyBorder="1"/>
    <xf numFmtId="164" fontId="104" fillId="54" borderId="154" xfId="0" applyNumberFormat="1" applyFont="1" applyFill="1" applyBorder="1"/>
    <xf numFmtId="164" fontId="0" fillId="45" borderId="144" xfId="0" applyNumberFormat="1" applyFill="1" applyBorder="1"/>
    <xf numFmtId="9" fontId="0" fillId="45" borderId="32" xfId="92" applyFont="1" applyFill="1" applyBorder="1"/>
    <xf numFmtId="169" fontId="0" fillId="45" borderId="127" xfId="0" applyNumberFormat="1" applyFill="1" applyBorder="1"/>
    <xf numFmtId="164" fontId="0" fillId="45" borderId="45" xfId="439" applyNumberFormat="1" applyFont="1" applyFill="1" applyBorder="1"/>
    <xf numFmtId="44" fontId="60" fillId="45" borderId="116" xfId="0" applyNumberFormat="1" applyFont="1" applyFill="1" applyBorder="1"/>
    <xf numFmtId="0" fontId="60" fillId="45" borderId="23" xfId="0" applyFont="1" applyFill="1" applyBorder="1"/>
    <xf numFmtId="169" fontId="0" fillId="45" borderId="62" xfId="0" applyNumberFormat="1" applyFill="1" applyBorder="1"/>
    <xf numFmtId="9" fontId="0" fillId="45" borderId="62" xfId="92" applyFont="1" applyFill="1" applyBorder="1"/>
    <xf numFmtId="164" fontId="0" fillId="45" borderId="59" xfId="439" applyNumberFormat="1" applyFont="1" applyFill="1" applyBorder="1"/>
    <xf numFmtId="0" fontId="60" fillId="45" borderId="131" xfId="0" applyFont="1" applyFill="1" applyBorder="1" applyAlignment="1">
      <alignment horizontal="left" vertical="center" wrapText="1"/>
    </xf>
    <xf numFmtId="0" fontId="0" fillId="45" borderId="155" xfId="0" applyFill="1" applyBorder="1"/>
    <xf numFmtId="0" fontId="60" fillId="45" borderId="156" xfId="0" applyFont="1" applyFill="1" applyBorder="1"/>
    <xf numFmtId="0" fontId="41" fillId="0" borderId="46" xfId="0" applyFont="1" applyBorder="1"/>
    <xf numFmtId="164" fontId="60" fillId="45" borderId="46" xfId="439" applyNumberFormat="1" applyFont="1" applyFill="1" applyBorder="1"/>
    <xf numFmtId="0" fontId="41" fillId="45" borderId="46" xfId="0" applyFont="1" applyFill="1" applyBorder="1"/>
    <xf numFmtId="164" fontId="60" fillId="45" borderId="46" xfId="439" applyNumberFormat="1" applyFont="1" applyFill="1" applyBorder="1" applyProtection="1"/>
    <xf numFmtId="2" fontId="60" fillId="37" borderId="46" xfId="0" applyNumberFormat="1" applyFont="1" applyFill="1" applyBorder="1" applyProtection="1">
      <protection locked="0"/>
    </xf>
    <xf numFmtId="44" fontId="60" fillId="37" borderId="46" xfId="439" applyFont="1" applyFill="1" applyBorder="1" applyProtection="1">
      <protection locked="0"/>
    </xf>
    <xf numFmtId="2" fontId="60" fillId="37" borderId="46" xfId="439" applyNumberFormat="1" applyFont="1" applyFill="1" applyBorder="1" applyProtection="1">
      <protection locked="0"/>
    </xf>
    <xf numFmtId="0" fontId="78" fillId="27" borderId="80" xfId="0" applyFont="1" applyFill="1" applyBorder="1" applyAlignment="1">
      <alignment horizontal="center"/>
    </xf>
    <xf numFmtId="0" fontId="78" fillId="27" borderId="79" xfId="0" applyFont="1" applyFill="1" applyBorder="1" applyAlignment="1">
      <alignment horizontal="center"/>
    </xf>
    <xf numFmtId="0" fontId="78" fillId="27" borderId="85" xfId="0" applyFont="1" applyFill="1" applyBorder="1" applyAlignment="1">
      <alignment horizontal="center"/>
    </xf>
    <xf numFmtId="0" fontId="78" fillId="51" borderId="86" xfId="0" applyFont="1" applyFill="1" applyBorder="1" applyAlignment="1">
      <alignment horizontal="center"/>
    </xf>
    <xf numFmtId="168" fontId="78" fillId="32" borderId="86" xfId="76" applyNumberFormat="1" applyFont="1" applyFill="1" applyBorder="1" applyAlignment="1">
      <alignment horizontal="center" vertical="top" wrapText="1"/>
    </xf>
    <xf numFmtId="0" fontId="116" fillId="41" borderId="0" xfId="0" applyFont="1" applyFill="1" applyAlignment="1">
      <alignment horizontal="center" vertical="center" wrapText="1"/>
    </xf>
    <xf numFmtId="0" fontId="114" fillId="45" borderId="0" xfId="0" applyFont="1" applyFill="1" applyAlignment="1">
      <alignment horizontal="center" vertical="center"/>
    </xf>
    <xf numFmtId="0" fontId="78" fillId="27" borderId="136" xfId="0" applyFont="1" applyFill="1" applyBorder="1" applyAlignment="1">
      <alignment horizontal="center"/>
    </xf>
    <xf numFmtId="0" fontId="78" fillId="27" borderId="137" xfId="0" applyFont="1" applyFill="1" applyBorder="1" applyAlignment="1">
      <alignment horizontal="center"/>
    </xf>
    <xf numFmtId="0" fontId="78" fillId="27" borderId="138" xfId="0" applyFont="1" applyFill="1" applyBorder="1" applyAlignment="1">
      <alignment horizontal="center"/>
    </xf>
    <xf numFmtId="168" fontId="115" fillId="32" borderId="86" xfId="76" applyNumberFormat="1" applyFont="1" applyFill="1" applyBorder="1" applyAlignment="1">
      <alignment horizontal="center" vertical="top" wrapText="1"/>
    </xf>
    <xf numFmtId="168" fontId="115" fillId="32" borderId="101" xfId="76" applyNumberFormat="1" applyFont="1" applyFill="1" applyBorder="1" applyAlignment="1">
      <alignment horizontal="center" vertical="top" wrapText="1"/>
    </xf>
    <xf numFmtId="0" fontId="115" fillId="51" borderId="100" xfId="0" applyFont="1" applyFill="1" applyBorder="1" applyAlignment="1">
      <alignment horizontal="center"/>
    </xf>
    <xf numFmtId="0" fontId="115" fillId="51" borderId="86" xfId="0" applyFont="1" applyFill="1" applyBorder="1" applyAlignment="1">
      <alignment horizontal="center"/>
    </xf>
    <xf numFmtId="0" fontId="78" fillId="51" borderId="139" xfId="0" applyFont="1" applyFill="1" applyBorder="1" applyAlignment="1">
      <alignment horizontal="center"/>
    </xf>
    <xf numFmtId="168" fontId="78" fillId="32" borderId="139" xfId="76" applyNumberFormat="1" applyFont="1" applyFill="1" applyBorder="1" applyAlignment="1">
      <alignment horizontal="center" vertical="top" wrapText="1"/>
    </xf>
    <xf numFmtId="0" fontId="102" fillId="49" borderId="72" xfId="448" applyFont="1" applyFill="1" applyBorder="1" applyAlignment="1">
      <alignment horizontal="center"/>
    </xf>
    <xf numFmtId="0" fontId="78" fillId="25" borderId="0" xfId="433" applyFont="1" applyFill="1" applyAlignment="1">
      <alignment horizontal="center"/>
    </xf>
    <xf numFmtId="167" fontId="78" fillId="39" borderId="54" xfId="50" applyNumberFormat="1" applyFont="1" applyFill="1" applyBorder="1" applyAlignment="1">
      <alignment horizontal="center" vertical="center"/>
    </xf>
    <xf numFmtId="167" fontId="78" fillId="39" borderId="66" xfId="50" applyNumberFormat="1" applyFont="1" applyFill="1" applyBorder="1" applyAlignment="1">
      <alignment horizontal="center" vertical="center"/>
    </xf>
    <xf numFmtId="167" fontId="78" fillId="39" borderId="56" xfId="50" applyNumberFormat="1" applyFont="1" applyFill="1" applyBorder="1" applyAlignment="1">
      <alignment horizontal="center" vertical="center"/>
    </xf>
    <xf numFmtId="0" fontId="78" fillId="39" borderId="55" xfId="433" applyFont="1" applyFill="1" applyBorder="1" applyAlignment="1">
      <alignment horizontal="center" vertical="center" wrapText="1"/>
    </xf>
    <xf numFmtId="0" fontId="78" fillId="39" borderId="63" xfId="433" applyFont="1" applyFill="1" applyBorder="1" applyAlignment="1">
      <alignment horizontal="center" vertical="center" wrapText="1"/>
    </xf>
    <xf numFmtId="0" fontId="78" fillId="39" borderId="57" xfId="433" applyFont="1" applyFill="1" applyBorder="1" applyAlignment="1">
      <alignment horizontal="center" vertical="center" wrapText="1"/>
    </xf>
    <xf numFmtId="0" fontId="74" fillId="0" borderId="23" xfId="433" applyFont="1" applyBorder="1" applyAlignment="1">
      <alignment horizontal="left"/>
    </xf>
    <xf numFmtId="0" fontId="74" fillId="0" borderId="62" xfId="433" applyFont="1" applyBorder="1" applyAlignment="1">
      <alignment horizontal="left"/>
    </xf>
    <xf numFmtId="0" fontId="74" fillId="0" borderId="59" xfId="433" applyFont="1" applyBorder="1" applyAlignment="1">
      <alignment horizontal="left"/>
    </xf>
    <xf numFmtId="0" fontId="78" fillId="25" borderId="0" xfId="450" applyFont="1" applyFill="1" applyAlignment="1">
      <alignment horizontal="center"/>
    </xf>
    <xf numFmtId="0" fontId="74" fillId="0" borderId="23" xfId="450" applyFont="1" applyBorder="1" applyAlignment="1">
      <alignment horizontal="left"/>
    </xf>
    <xf numFmtId="0" fontId="74" fillId="0" borderId="62" xfId="450" applyFont="1" applyBorder="1" applyAlignment="1">
      <alignment horizontal="left"/>
    </xf>
    <xf numFmtId="0" fontId="74" fillId="0" borderId="59" xfId="450" applyFont="1" applyBorder="1" applyAlignment="1">
      <alignment horizontal="left"/>
    </xf>
    <xf numFmtId="0" fontId="78" fillId="39" borderId="55" xfId="450" applyFont="1" applyFill="1" applyBorder="1" applyAlignment="1">
      <alignment horizontal="center" vertical="center" wrapText="1"/>
    </xf>
    <xf numFmtId="0" fontId="78" fillId="39" borderId="63" xfId="450" applyFont="1" applyFill="1" applyBorder="1" applyAlignment="1">
      <alignment horizontal="center" vertical="center" wrapText="1"/>
    </xf>
    <xf numFmtId="0" fontId="78" fillId="39" borderId="57" xfId="450" applyFont="1" applyFill="1" applyBorder="1" applyAlignment="1">
      <alignment horizontal="center" vertical="center" wrapText="1"/>
    </xf>
    <xf numFmtId="0" fontId="74" fillId="36" borderId="0" xfId="450" applyFont="1" applyFill="1" applyAlignment="1">
      <alignment horizontal="center"/>
    </xf>
    <xf numFmtId="9" fontId="72" fillId="40" borderId="46" xfId="434" applyFont="1" applyFill="1" applyBorder="1" applyAlignment="1" applyProtection="1">
      <alignment horizontal="center" vertical="top" wrapText="1"/>
    </xf>
    <xf numFmtId="9" fontId="72" fillId="40" borderId="52" xfId="434" applyFont="1" applyFill="1" applyBorder="1" applyAlignment="1" applyProtection="1">
      <alignment horizontal="center" vertical="top" wrapText="1"/>
    </xf>
  </cellXfs>
  <cellStyles count="456">
    <cellStyle name="20% - Accent1" xfId="1" builtinId="30" customBuiltin="1"/>
    <cellStyle name="20% - Accent1 2" xfId="167" xr:uid="{00000000-0005-0000-0000-000001000000}"/>
    <cellStyle name="20% - Accent2" xfId="2" builtinId="34" customBuiltin="1"/>
    <cellStyle name="20% - Accent2 2" xfId="168" xr:uid="{00000000-0005-0000-0000-000003000000}"/>
    <cellStyle name="20% - Accent3" xfId="3" builtinId="38" customBuiltin="1"/>
    <cellStyle name="20% - Accent3 2" xfId="169" xr:uid="{00000000-0005-0000-0000-000005000000}"/>
    <cellStyle name="20% - Accent4" xfId="4" builtinId="42" customBuiltin="1"/>
    <cellStyle name="20% - Accent4 2" xfId="170" xr:uid="{00000000-0005-0000-0000-000007000000}"/>
    <cellStyle name="20% - Accent5" xfId="5" builtinId="46" customBuiltin="1"/>
    <cellStyle name="20% - Accent5 2" xfId="171" xr:uid="{00000000-0005-0000-0000-000009000000}"/>
    <cellStyle name="20% - Accent6" xfId="6" builtinId="50" customBuiltin="1"/>
    <cellStyle name="20% - Accent6 2" xfId="172" xr:uid="{00000000-0005-0000-0000-00000B000000}"/>
    <cellStyle name="40% - Accent1" xfId="7" builtinId="31" customBuiltin="1"/>
    <cellStyle name="40% - Accent1 2" xfId="173" xr:uid="{00000000-0005-0000-0000-00000D000000}"/>
    <cellStyle name="40% - Accent2" xfId="8" builtinId="35" customBuiltin="1"/>
    <cellStyle name="40% - Accent2 2" xfId="174" xr:uid="{00000000-0005-0000-0000-00000F000000}"/>
    <cellStyle name="40% - Accent3" xfId="9" builtinId="39" customBuiltin="1"/>
    <cellStyle name="40% - Accent3 2" xfId="175" xr:uid="{00000000-0005-0000-0000-000011000000}"/>
    <cellStyle name="40% - Accent4" xfId="10" builtinId="43" customBuiltin="1"/>
    <cellStyle name="40% - Accent4 2" xfId="176" xr:uid="{00000000-0005-0000-0000-000013000000}"/>
    <cellStyle name="40% - Accent5" xfId="11" builtinId="47" customBuiltin="1"/>
    <cellStyle name="40% - Accent5 2" xfId="177" xr:uid="{00000000-0005-0000-0000-000015000000}"/>
    <cellStyle name="40% - Accent6" xfId="12" builtinId="51" customBuiltin="1"/>
    <cellStyle name="40% - Accent6 2" xfId="178" xr:uid="{00000000-0005-0000-0000-000017000000}"/>
    <cellStyle name="60% - Accent1" xfId="13" builtinId="32" customBuiltin="1"/>
    <cellStyle name="60% - Accent1 2" xfId="179" xr:uid="{00000000-0005-0000-0000-000019000000}"/>
    <cellStyle name="60% - Accent2" xfId="14" builtinId="36" customBuiltin="1"/>
    <cellStyle name="60% - Accent2 2" xfId="180" xr:uid="{00000000-0005-0000-0000-00001B000000}"/>
    <cellStyle name="60% - Accent3" xfId="15" builtinId="40" customBuiltin="1"/>
    <cellStyle name="60% - Accent3 2" xfId="181" xr:uid="{00000000-0005-0000-0000-00001D000000}"/>
    <cellStyle name="60% - Accent4" xfId="16" builtinId="44" customBuiltin="1"/>
    <cellStyle name="60% - Accent4 2" xfId="182" xr:uid="{00000000-0005-0000-0000-00001F000000}"/>
    <cellStyle name="60% - Accent5" xfId="17" builtinId="48" customBuiltin="1"/>
    <cellStyle name="60% - Accent5 2" xfId="183" xr:uid="{00000000-0005-0000-0000-000021000000}"/>
    <cellStyle name="60% - Accent6" xfId="18" builtinId="52" customBuiltin="1"/>
    <cellStyle name="60% - Accent6 2" xfId="184" xr:uid="{00000000-0005-0000-0000-000023000000}"/>
    <cellStyle name="Accent1" xfId="19" builtinId="29" customBuiltin="1"/>
    <cellStyle name="Accent1 2" xfId="185" xr:uid="{00000000-0005-0000-0000-000025000000}"/>
    <cellStyle name="Accent2" xfId="20" builtinId="33" customBuiltin="1"/>
    <cellStyle name="Accent2 2" xfId="186" xr:uid="{00000000-0005-0000-0000-000027000000}"/>
    <cellStyle name="Accent3" xfId="21" builtinId="37" customBuiltin="1"/>
    <cellStyle name="Accent3 2" xfId="187" xr:uid="{00000000-0005-0000-0000-000029000000}"/>
    <cellStyle name="Accent4" xfId="22" builtinId="41" customBuiltin="1"/>
    <cellStyle name="Accent4 2" xfId="188" xr:uid="{00000000-0005-0000-0000-00002B000000}"/>
    <cellStyle name="Accent5" xfId="23" builtinId="45" customBuiltin="1"/>
    <cellStyle name="Accent5 2" xfId="189" xr:uid="{00000000-0005-0000-0000-00002D000000}"/>
    <cellStyle name="Accent6" xfId="24" builtinId="49" customBuiltin="1"/>
    <cellStyle name="Accent6 2" xfId="190" xr:uid="{00000000-0005-0000-0000-00002F000000}"/>
    <cellStyle name="Bad" xfId="25" builtinId="27" customBuiltin="1"/>
    <cellStyle name="Bad 2" xfId="191" xr:uid="{00000000-0005-0000-0000-000031000000}"/>
    <cellStyle name="Calculation" xfId="26" builtinId="22" customBuiltin="1"/>
    <cellStyle name="Calculation 2" xfId="83" xr:uid="{00000000-0005-0000-0000-000033000000}"/>
    <cellStyle name="Calculation 2 2" xfId="227" xr:uid="{00000000-0005-0000-0000-000034000000}"/>
    <cellStyle name="Calculation 2 3" xfId="192" xr:uid="{00000000-0005-0000-0000-000035000000}"/>
    <cellStyle name="Calculation 3" xfId="120" xr:uid="{00000000-0005-0000-0000-000036000000}"/>
    <cellStyle name="Calculation 3 2" xfId="228" xr:uid="{00000000-0005-0000-0000-000037000000}"/>
    <cellStyle name="Calculation 3 3" xfId="214" xr:uid="{00000000-0005-0000-0000-000038000000}"/>
    <cellStyle name="Calculation 4" xfId="216" xr:uid="{00000000-0005-0000-0000-000039000000}"/>
    <cellStyle name="Calculation 4 2" xfId="229" xr:uid="{00000000-0005-0000-0000-00003A000000}"/>
    <cellStyle name="Calculation 5" xfId="230" xr:uid="{00000000-0005-0000-0000-00003B000000}"/>
    <cellStyle name="Calculation 5 2" xfId="231" xr:uid="{00000000-0005-0000-0000-00003C000000}"/>
    <cellStyle name="Calculation 6" xfId="232" xr:uid="{00000000-0005-0000-0000-00003D000000}"/>
    <cellStyle name="Calculation 6 2" xfId="233" xr:uid="{00000000-0005-0000-0000-00003E000000}"/>
    <cellStyle name="Calculation 7" xfId="234" xr:uid="{00000000-0005-0000-0000-00003F000000}"/>
    <cellStyle name="Calculation 7 2" xfId="235" xr:uid="{00000000-0005-0000-0000-000040000000}"/>
    <cellStyle name="Calculation 8" xfId="236" xr:uid="{00000000-0005-0000-0000-000041000000}"/>
    <cellStyle name="Calculation 8 2" xfId="237" xr:uid="{00000000-0005-0000-0000-000042000000}"/>
    <cellStyle name="Calculation 9" xfId="421" xr:uid="{42CC126F-E86F-43B4-9D1D-CA497E208B71}"/>
    <cellStyle name="Check Cell" xfId="27" builtinId="23" customBuiltin="1"/>
    <cellStyle name="Check Cell 2" xfId="193" xr:uid="{00000000-0005-0000-0000-000044000000}"/>
    <cellStyle name="Comma" xfId="438" builtinId="3"/>
    <cellStyle name="Comma 10" xfId="161" xr:uid="{00000000-0005-0000-0000-000046000000}"/>
    <cellStyle name="Comma 11" xfId="164" xr:uid="{00000000-0005-0000-0000-000047000000}"/>
    <cellStyle name="Comma 11 2" xfId="437" xr:uid="{A07E2F4F-1B84-46CE-AB28-D9234A87658B}"/>
    <cellStyle name="Comma 12" xfId="441" xr:uid="{EFCE67E1-583E-485E-87A1-E2334C2E1454}"/>
    <cellStyle name="Comma 13" xfId="443" xr:uid="{3E9DE9BB-2CA3-4CFF-BED7-3F1EE4338A99}"/>
    <cellStyle name="Comma 14" xfId="449" xr:uid="{8887D57B-22C2-4627-AF5A-2C925B9D1ABC}"/>
    <cellStyle name="Comma 15" xfId="455" xr:uid="{227E61DF-F9CB-4B2C-896C-3BBE7BDFB257}"/>
    <cellStyle name="Comma 2" xfId="44" xr:uid="{00000000-0005-0000-0000-000048000000}"/>
    <cellStyle name="Comma 2 10" xfId="156" xr:uid="{00000000-0005-0000-0000-000049000000}"/>
    <cellStyle name="Comma 2 10 2" xfId="239" xr:uid="{00000000-0005-0000-0000-00004A000000}"/>
    <cellStyle name="Comma 2 10 3" xfId="238" xr:uid="{00000000-0005-0000-0000-00004B000000}"/>
    <cellStyle name="Comma 2 11" xfId="240" xr:uid="{00000000-0005-0000-0000-00004C000000}"/>
    <cellStyle name="Comma 2 12" xfId="209" xr:uid="{00000000-0005-0000-0000-00004D000000}"/>
    <cellStyle name="Comma 2 13" xfId="410" xr:uid="{00000000-0005-0000-0000-00004E000000}"/>
    <cellStyle name="Comma 2 14" xfId="427" xr:uid="{F80DED12-E476-41BD-AFE2-8449A6D1F951}"/>
    <cellStyle name="Comma 2 2" xfId="48" xr:uid="{00000000-0005-0000-0000-00004F000000}"/>
    <cellStyle name="Comma 2 2 2" xfId="72" xr:uid="{00000000-0005-0000-0000-000050000000}"/>
    <cellStyle name="Comma 2 2 2 2" xfId="59" xr:uid="{00000000-0005-0000-0000-000051000000}"/>
    <cellStyle name="Comma 2 3" xfId="62" xr:uid="{00000000-0005-0000-0000-000052000000}"/>
    <cellStyle name="Comma 2 3 2" xfId="419" xr:uid="{1487B22C-DEBC-410E-829E-E3234BAC9159}"/>
    <cellStyle name="Comma 2 4" xfId="89" xr:uid="{00000000-0005-0000-0000-000053000000}"/>
    <cellStyle name="Comma 2 4 2" xfId="242" xr:uid="{00000000-0005-0000-0000-000054000000}"/>
    <cellStyle name="Comma 2 4 3" xfId="241" xr:uid="{00000000-0005-0000-0000-000055000000}"/>
    <cellStyle name="Comma 2 5" xfId="98" xr:uid="{00000000-0005-0000-0000-000056000000}"/>
    <cellStyle name="Comma 2 5 2" xfId="244" xr:uid="{00000000-0005-0000-0000-000057000000}"/>
    <cellStyle name="Comma 2 5 3" xfId="243" xr:uid="{00000000-0005-0000-0000-000058000000}"/>
    <cellStyle name="Comma 2 6" xfId="106" xr:uid="{00000000-0005-0000-0000-000059000000}"/>
    <cellStyle name="Comma 2 6 2" xfId="246" xr:uid="{00000000-0005-0000-0000-00005A000000}"/>
    <cellStyle name="Comma 2 6 3" xfId="245" xr:uid="{00000000-0005-0000-0000-00005B000000}"/>
    <cellStyle name="Comma 2 7" xfId="119" xr:uid="{00000000-0005-0000-0000-00005C000000}"/>
    <cellStyle name="Comma 2 7 2" xfId="248" xr:uid="{00000000-0005-0000-0000-00005D000000}"/>
    <cellStyle name="Comma 2 7 3" xfId="247" xr:uid="{00000000-0005-0000-0000-00005E000000}"/>
    <cellStyle name="Comma 2 8" xfId="126" xr:uid="{00000000-0005-0000-0000-00005F000000}"/>
    <cellStyle name="Comma 2 8 2" xfId="250" xr:uid="{00000000-0005-0000-0000-000060000000}"/>
    <cellStyle name="Comma 2 8 3" xfId="249" xr:uid="{00000000-0005-0000-0000-000061000000}"/>
    <cellStyle name="Comma 2 9" xfId="130" xr:uid="{00000000-0005-0000-0000-000062000000}"/>
    <cellStyle name="Comma 2 9 2" xfId="252" xr:uid="{00000000-0005-0000-0000-000063000000}"/>
    <cellStyle name="Comma 2 9 3" xfId="251" xr:uid="{00000000-0005-0000-0000-000064000000}"/>
    <cellStyle name="Comma 3" xfId="52" xr:uid="{00000000-0005-0000-0000-000065000000}"/>
    <cellStyle name="Comma 3 2" xfId="58" xr:uid="{00000000-0005-0000-0000-000066000000}"/>
    <cellStyle name="Comma 3 2 2" xfId="254" xr:uid="{00000000-0005-0000-0000-000067000000}"/>
    <cellStyle name="Comma 3 2 3" xfId="253" xr:uid="{00000000-0005-0000-0000-000068000000}"/>
    <cellStyle name="Comma 3 3" xfId="255" xr:uid="{00000000-0005-0000-0000-000069000000}"/>
    <cellStyle name="Comma 3 4" xfId="416" xr:uid="{F8E906FD-881C-438F-BE38-FA3498D3C872}"/>
    <cellStyle name="Comma 3 5" xfId="420" xr:uid="{C751E865-1E77-4C44-B53E-E87EA0A3D9AD}"/>
    <cellStyle name="Comma 4" xfId="70" xr:uid="{00000000-0005-0000-0000-00006A000000}"/>
    <cellStyle name="Comma 4 2" xfId="257" xr:uid="{00000000-0005-0000-0000-00006B000000}"/>
    <cellStyle name="Comma 4 2 2" xfId="258" xr:uid="{00000000-0005-0000-0000-00006C000000}"/>
    <cellStyle name="Comma 4 2 2 2" xfId="259" xr:uid="{00000000-0005-0000-0000-00006D000000}"/>
    <cellStyle name="Comma 4 2 3" xfId="260" xr:uid="{00000000-0005-0000-0000-00006E000000}"/>
    <cellStyle name="Comma 4 3" xfId="261" xr:uid="{00000000-0005-0000-0000-00006F000000}"/>
    <cellStyle name="Comma 4 3 2" xfId="262" xr:uid="{00000000-0005-0000-0000-000070000000}"/>
    <cellStyle name="Comma 4 4" xfId="102" xr:uid="{00000000-0005-0000-0000-000071000000}"/>
    <cellStyle name="Comma 4 4 2" xfId="135" xr:uid="{00000000-0005-0000-0000-000072000000}"/>
    <cellStyle name="Comma 4 4 3" xfId="148" xr:uid="{00000000-0005-0000-0000-000073000000}"/>
    <cellStyle name="Comma 4 4 4" xfId="152" xr:uid="{00000000-0005-0000-0000-000074000000}"/>
    <cellStyle name="Comma 4 4 5" xfId="223" xr:uid="{00000000-0005-0000-0000-000075000000}"/>
    <cellStyle name="Comma 4 5" xfId="256" xr:uid="{00000000-0005-0000-0000-000076000000}"/>
    <cellStyle name="Comma 4 6" xfId="432" xr:uid="{A37D697F-D958-495C-8417-995ECA756CFC}"/>
    <cellStyle name="Comma 4 6 2" xfId="452" xr:uid="{185BBBF5-420E-4FE8-80BD-6EFB0DBB93A6}"/>
    <cellStyle name="Comma 5" xfId="94" xr:uid="{00000000-0005-0000-0000-000077000000}"/>
    <cellStyle name="Comma 5 2" xfId="264" xr:uid="{00000000-0005-0000-0000-000078000000}"/>
    <cellStyle name="Comma 5 2 2" xfId="265" xr:uid="{00000000-0005-0000-0000-000079000000}"/>
    <cellStyle name="Comma 5 3" xfId="266" xr:uid="{00000000-0005-0000-0000-00007A000000}"/>
    <cellStyle name="Comma 5 4" xfId="76" xr:uid="{00000000-0005-0000-0000-00007B000000}"/>
    <cellStyle name="Comma 5 5" xfId="263" xr:uid="{00000000-0005-0000-0000-00007C000000}"/>
    <cellStyle name="Comma 6" xfId="139" xr:uid="{00000000-0005-0000-0000-00007D000000}"/>
    <cellStyle name="Comma 6 2" xfId="267" xr:uid="{00000000-0005-0000-0000-00007E000000}"/>
    <cellStyle name="Comma 7" xfId="75" xr:uid="{00000000-0005-0000-0000-00007F000000}"/>
    <cellStyle name="Comma 8" xfId="142" xr:uid="{00000000-0005-0000-0000-000080000000}"/>
    <cellStyle name="Comma 9" xfId="146" xr:uid="{00000000-0005-0000-0000-000081000000}"/>
    <cellStyle name="Currency" xfId="439" builtinId="4"/>
    <cellStyle name="Currency 10" xfId="268" xr:uid="{00000000-0005-0000-0000-000083000000}"/>
    <cellStyle name="Currency 10 2" xfId="269" xr:uid="{00000000-0005-0000-0000-000084000000}"/>
    <cellStyle name="Currency 10 2 2" xfId="270" xr:uid="{00000000-0005-0000-0000-000085000000}"/>
    <cellStyle name="Currency 10 3" xfId="271" xr:uid="{00000000-0005-0000-0000-000086000000}"/>
    <cellStyle name="Currency 11" xfId="445" xr:uid="{F66501B6-B515-453A-A4DF-569F5A39D802}"/>
    <cellStyle name="Currency 2" xfId="49" xr:uid="{00000000-0005-0000-0000-000087000000}"/>
    <cellStyle name="Currency 2 2 2" xfId="100" xr:uid="{00000000-0005-0000-0000-000088000000}"/>
    <cellStyle name="Currency 3" xfId="53" xr:uid="{00000000-0005-0000-0000-000089000000}"/>
    <cellStyle name="Currency 3 2" xfId="77" xr:uid="{00000000-0005-0000-0000-00008A000000}"/>
    <cellStyle name="Currency 3 2 2" xfId="273" xr:uid="{00000000-0005-0000-0000-00008B000000}"/>
    <cellStyle name="Currency 3 2 3" xfId="272" xr:uid="{00000000-0005-0000-0000-00008C000000}"/>
    <cellStyle name="Currency 3 2 4" xfId="436" xr:uid="{2262ED32-CBEE-423A-B60C-FADE081F46F8}"/>
    <cellStyle name="Currency 3 2 4 2" xfId="453" xr:uid="{B063216B-CCCF-4134-8FC4-73AA2392F181}"/>
    <cellStyle name="Currency 3 3" xfId="274" xr:uid="{00000000-0005-0000-0000-00008D000000}"/>
    <cellStyle name="Currency 4" xfId="55" xr:uid="{00000000-0005-0000-0000-00008E000000}"/>
    <cellStyle name="Currency 4 2" xfId="63" xr:uid="{00000000-0005-0000-0000-00008F000000}"/>
    <cellStyle name="Currency 4 2 2" xfId="145" xr:uid="{00000000-0005-0000-0000-000090000000}"/>
    <cellStyle name="Currency 4 2 2 2" xfId="103" xr:uid="{00000000-0005-0000-0000-000091000000}"/>
    <cellStyle name="Currency 4 2 2 2 2" xfId="137" xr:uid="{00000000-0005-0000-0000-000092000000}"/>
    <cellStyle name="Currency 4 2 2 2 3" xfId="150" xr:uid="{00000000-0005-0000-0000-000093000000}"/>
    <cellStyle name="Currency 4 2 2 2 4" xfId="154" xr:uid="{00000000-0005-0000-0000-000094000000}"/>
    <cellStyle name="Currency 4 2 2 2 5" xfId="226" xr:uid="{00000000-0005-0000-0000-000095000000}"/>
    <cellStyle name="Currency 4 2 2 3" xfId="276" xr:uid="{00000000-0005-0000-0000-000096000000}"/>
    <cellStyle name="Currency 4 2 3" xfId="277" xr:uid="{00000000-0005-0000-0000-000097000000}"/>
    <cellStyle name="Currency 4 2 4" xfId="275" xr:uid="{00000000-0005-0000-0000-000098000000}"/>
    <cellStyle name="Currency 4 3" xfId="278" xr:uid="{00000000-0005-0000-0000-000099000000}"/>
    <cellStyle name="Currency 4 3 2" xfId="279" xr:uid="{00000000-0005-0000-0000-00009A000000}"/>
    <cellStyle name="Currency 4 4" xfId="101" xr:uid="{00000000-0005-0000-0000-00009B000000}"/>
    <cellStyle name="Currency 4 4 2" xfId="136" xr:uid="{00000000-0005-0000-0000-00009C000000}"/>
    <cellStyle name="Currency 4 4 3" xfId="149" xr:uid="{00000000-0005-0000-0000-00009D000000}"/>
    <cellStyle name="Currency 4 4 4" xfId="153" xr:uid="{00000000-0005-0000-0000-00009E000000}"/>
    <cellStyle name="Currency 4 4 5" xfId="224" xr:uid="{00000000-0005-0000-0000-00009F000000}"/>
    <cellStyle name="Currency 4 5" xfId="221" xr:uid="{00000000-0005-0000-0000-0000A0000000}"/>
    <cellStyle name="Currency 5" xfId="96" xr:uid="{00000000-0005-0000-0000-0000A1000000}"/>
    <cellStyle name="Currency 5 2" xfId="281" xr:uid="{00000000-0005-0000-0000-0000A2000000}"/>
    <cellStyle name="Currency 5 2 2" xfId="282" xr:uid="{00000000-0005-0000-0000-0000A3000000}"/>
    <cellStyle name="Currency 5 3" xfId="283" xr:uid="{00000000-0005-0000-0000-0000A4000000}"/>
    <cellStyle name="Currency 5 4" xfId="280" xr:uid="{00000000-0005-0000-0000-0000A5000000}"/>
    <cellStyle name="Currency 6" xfId="114" xr:uid="{00000000-0005-0000-0000-0000A6000000}"/>
    <cellStyle name="Currency 6 2" xfId="284" xr:uid="{00000000-0005-0000-0000-0000A7000000}"/>
    <cellStyle name="Currency 7" xfId="116" xr:uid="{00000000-0005-0000-0000-0000A8000000}"/>
    <cellStyle name="Currency 8" xfId="140" xr:uid="{00000000-0005-0000-0000-0000A9000000}"/>
    <cellStyle name="Currency 9" xfId="143" xr:uid="{00000000-0005-0000-0000-0000AA000000}"/>
    <cellStyle name="Explanatory Text" xfId="28" builtinId="53" customBuiltin="1"/>
    <cellStyle name="Explanatory Text 2" xfId="194" xr:uid="{00000000-0005-0000-0000-0000AC000000}"/>
    <cellStyle name="Good" xfId="29" builtinId="26" customBuiltin="1"/>
    <cellStyle name="Good 2" xfId="195" xr:uid="{00000000-0005-0000-0000-0000AE000000}"/>
    <cellStyle name="Heading 1" xfId="30" builtinId="16" customBuiltin="1"/>
    <cellStyle name="Heading 1 2" xfId="196" xr:uid="{00000000-0005-0000-0000-0000B0000000}"/>
    <cellStyle name="Heading 2" xfId="31" builtinId="17" customBuiltin="1"/>
    <cellStyle name="Heading 2 2" xfId="197" xr:uid="{00000000-0005-0000-0000-0000B2000000}"/>
    <cellStyle name="Heading 3" xfId="32" builtinId="18" customBuiltin="1"/>
    <cellStyle name="Heading 3 2" xfId="198" xr:uid="{00000000-0005-0000-0000-0000B4000000}"/>
    <cellStyle name="Heading 3 3" xfId="407" xr:uid="{00000000-0005-0000-0000-0000B5000000}"/>
    <cellStyle name="Heading 4" xfId="33" builtinId="19" customBuiltin="1"/>
    <cellStyle name="Heading 4 2" xfId="199" xr:uid="{00000000-0005-0000-0000-0000B7000000}"/>
    <cellStyle name="Input" xfId="34" builtinId="20" customBuiltin="1"/>
    <cellStyle name="Input 2" xfId="84" xr:uid="{00000000-0005-0000-0000-0000B9000000}"/>
    <cellStyle name="Input 2 2" xfId="285" xr:uid="{00000000-0005-0000-0000-0000BA000000}"/>
    <cellStyle name="Input 2 3" xfId="200" xr:uid="{00000000-0005-0000-0000-0000BB000000}"/>
    <cellStyle name="Input 3" xfId="121" xr:uid="{00000000-0005-0000-0000-0000BC000000}"/>
    <cellStyle name="Input 3 2" xfId="286" xr:uid="{00000000-0005-0000-0000-0000BD000000}"/>
    <cellStyle name="Input 3 3" xfId="213" xr:uid="{00000000-0005-0000-0000-0000BE000000}"/>
    <cellStyle name="Input 4" xfId="217" xr:uid="{00000000-0005-0000-0000-0000BF000000}"/>
    <cellStyle name="Input 4 2" xfId="287" xr:uid="{00000000-0005-0000-0000-0000C0000000}"/>
    <cellStyle name="Input 5" xfId="288" xr:uid="{00000000-0005-0000-0000-0000C1000000}"/>
    <cellStyle name="Input 5 2" xfId="289" xr:uid="{00000000-0005-0000-0000-0000C2000000}"/>
    <cellStyle name="Input 6" xfId="290" xr:uid="{00000000-0005-0000-0000-0000C3000000}"/>
    <cellStyle name="Input 6 2" xfId="291" xr:uid="{00000000-0005-0000-0000-0000C4000000}"/>
    <cellStyle name="Input 7" xfId="292" xr:uid="{00000000-0005-0000-0000-0000C5000000}"/>
    <cellStyle name="Input 7 2" xfId="293" xr:uid="{00000000-0005-0000-0000-0000C6000000}"/>
    <cellStyle name="Input 8" xfId="294" xr:uid="{00000000-0005-0000-0000-0000C7000000}"/>
    <cellStyle name="Input 8 2" xfId="295" xr:uid="{00000000-0005-0000-0000-0000C8000000}"/>
    <cellStyle name="Input 9" xfId="422" xr:uid="{2907B248-C92E-40C0-BB66-01A11872FB3E}"/>
    <cellStyle name="Linked Cell" xfId="35" builtinId="24" customBuiltin="1"/>
    <cellStyle name="Linked Cell 2" xfId="201" xr:uid="{00000000-0005-0000-0000-0000CA000000}"/>
    <cellStyle name="Neutral" xfId="36" builtinId="28" customBuiltin="1"/>
    <cellStyle name="Neutral 2" xfId="202" xr:uid="{00000000-0005-0000-0000-0000CC000000}"/>
    <cellStyle name="Normal" xfId="0" builtinId="0"/>
    <cellStyle name="Normal 10" xfId="69" xr:uid="{00000000-0005-0000-0000-0000CE000000}"/>
    <cellStyle name="Normal 10 2" xfId="297" xr:uid="{00000000-0005-0000-0000-0000CF000000}"/>
    <cellStyle name="Normal 10 2 2" xfId="298" xr:uid="{00000000-0005-0000-0000-0000D0000000}"/>
    <cellStyle name="Normal 10 3" xfId="299" xr:uid="{00000000-0005-0000-0000-0000D1000000}"/>
    <cellStyle name="Normal 10 4" xfId="296" xr:uid="{00000000-0005-0000-0000-0000D2000000}"/>
    <cellStyle name="Normal 10 5" xfId="431" xr:uid="{054368B4-5E0F-4551-9613-8576697D8EFF}"/>
    <cellStyle name="Normal 10 5 2" xfId="447" xr:uid="{5A3F57A1-2406-4AF2-93D7-DE25171E0E76}"/>
    <cellStyle name="Normal 11" xfId="93" xr:uid="{00000000-0005-0000-0000-0000D3000000}"/>
    <cellStyle name="Normal 11 2" xfId="300" xr:uid="{00000000-0005-0000-0000-0000D4000000}"/>
    <cellStyle name="Normal 12" xfId="112" xr:uid="{00000000-0005-0000-0000-0000D5000000}"/>
    <cellStyle name="Normal 12 2" xfId="302" xr:uid="{00000000-0005-0000-0000-0000D6000000}"/>
    <cellStyle name="Normal 12 2 2" xfId="303" xr:uid="{00000000-0005-0000-0000-0000D7000000}"/>
    <cellStyle name="Normal 12 3" xfId="304" xr:uid="{00000000-0005-0000-0000-0000D8000000}"/>
    <cellStyle name="Normal 12 4" xfId="301" xr:uid="{00000000-0005-0000-0000-0000D9000000}"/>
    <cellStyle name="Normal 13" xfId="115" xr:uid="{00000000-0005-0000-0000-0000DA000000}"/>
    <cellStyle name="Normal 13 2" xfId="305" xr:uid="{00000000-0005-0000-0000-0000DB000000}"/>
    <cellStyle name="Normal 14" xfId="133" xr:uid="{00000000-0005-0000-0000-0000DC000000}"/>
    <cellStyle name="Normal 14 2" xfId="306" xr:uid="{00000000-0005-0000-0000-0000DD000000}"/>
    <cellStyle name="Normal 15" xfId="138" xr:uid="{00000000-0005-0000-0000-0000DE000000}"/>
    <cellStyle name="Normal 15 2" xfId="406" xr:uid="{00000000-0005-0000-0000-0000DF000000}"/>
    <cellStyle name="Normal 16" xfId="141" xr:uid="{00000000-0005-0000-0000-0000E0000000}"/>
    <cellStyle name="Normal 16 2" xfId="413" xr:uid="{00000000-0005-0000-0000-0000E1000000}"/>
    <cellStyle name="Normal 17" xfId="163" xr:uid="{00000000-0005-0000-0000-0000E2000000}"/>
    <cellStyle name="Normal 18" xfId="440" xr:uid="{1CAA4068-D06F-4757-8392-66FFE8530FAC}"/>
    <cellStyle name="Normal 19" xfId="442" xr:uid="{70742334-B278-404A-BDFF-FB4114F1A098}"/>
    <cellStyle name="Normal 2" xfId="37" xr:uid="{00000000-0005-0000-0000-0000E3000000}"/>
    <cellStyle name="Normal 2 2" xfId="56" xr:uid="{00000000-0005-0000-0000-0000E4000000}"/>
    <cellStyle name="Normal 2 2 2" xfId="60" xr:uid="{00000000-0005-0000-0000-0000E5000000}"/>
    <cellStyle name="Normal 20" xfId="446" xr:uid="{BE59EE59-449C-4296-AAD1-F8ED2E7F61E7}"/>
    <cellStyle name="Normal 21" xfId="448" xr:uid="{6B18821B-C3F4-47D2-954E-6BA227EE1EAF}"/>
    <cellStyle name="Normal 22" xfId="454" xr:uid="{BABAE353-7604-4BA3-93AB-FF55EE9E76E4}"/>
    <cellStyle name="Normal 3" xfId="43" xr:uid="{00000000-0005-0000-0000-0000E6000000}"/>
    <cellStyle name="Normal 3 10" xfId="118" xr:uid="{00000000-0005-0000-0000-0000E7000000}"/>
    <cellStyle name="Normal 3 11" xfId="125" xr:uid="{00000000-0005-0000-0000-0000E8000000}"/>
    <cellStyle name="Normal 3 12" xfId="129" xr:uid="{00000000-0005-0000-0000-0000E9000000}"/>
    <cellStyle name="Normal 3 13" xfId="155" xr:uid="{00000000-0005-0000-0000-0000EA000000}"/>
    <cellStyle name="Normal 3 14" xfId="208" xr:uid="{00000000-0005-0000-0000-0000EB000000}"/>
    <cellStyle name="Normal 3 15" xfId="409" xr:uid="{00000000-0005-0000-0000-0000EC000000}"/>
    <cellStyle name="Normal 3 16" xfId="426" xr:uid="{29A817A6-58AA-47E0-A109-E27D248BC222}"/>
    <cellStyle name="Normal 3 17" xfId="430" xr:uid="{B15643E3-2792-4409-8527-7835FC546974}"/>
    <cellStyle name="Normal 3 18" xfId="435" xr:uid="{E9B9F13E-CC38-47A5-A162-51E29BCE4B06}"/>
    <cellStyle name="Normal 3 2" xfId="64" xr:uid="{00000000-0005-0000-0000-0000ED000000}"/>
    <cellStyle name="Normal 3 2 2" xfId="68" xr:uid="{00000000-0005-0000-0000-0000EE000000}"/>
    <cellStyle name="Normal 3 2 2 2" xfId="111" xr:uid="{00000000-0005-0000-0000-0000EF000000}"/>
    <cellStyle name="Normal 3 2 2 2 2" xfId="162" xr:uid="{00000000-0005-0000-0000-0000F0000000}"/>
    <cellStyle name="Normal 3 2 2 3" xfId="308" xr:uid="{00000000-0005-0000-0000-0000F1000000}"/>
    <cellStyle name="Normal 3 2 3" xfId="307" xr:uid="{00000000-0005-0000-0000-0000F2000000}"/>
    <cellStyle name="Normal 3 3" xfId="79" xr:uid="{00000000-0005-0000-0000-0000F3000000}"/>
    <cellStyle name="Normal 3 3 2" xfId="310" xr:uid="{00000000-0005-0000-0000-0000F4000000}"/>
    <cellStyle name="Normal 3 3 3" xfId="309" xr:uid="{00000000-0005-0000-0000-0000F5000000}"/>
    <cellStyle name="Normal 3 3 4" xfId="417" xr:uid="{57D4C4ED-0C0D-44F8-ABDC-5E9D05742420}"/>
    <cellStyle name="Normal 3 4" xfId="88" xr:uid="{00000000-0005-0000-0000-0000F6000000}"/>
    <cellStyle name="Normal 3 4 2" xfId="312" xr:uid="{00000000-0005-0000-0000-0000F7000000}"/>
    <cellStyle name="Normal 3 4 3" xfId="311" xr:uid="{00000000-0005-0000-0000-0000F8000000}"/>
    <cellStyle name="Normal 3 5" xfId="97" xr:uid="{00000000-0005-0000-0000-0000F9000000}"/>
    <cellStyle name="Normal 3 5 2" xfId="314" xr:uid="{00000000-0005-0000-0000-0000FA000000}"/>
    <cellStyle name="Normal 3 5 3" xfId="313" xr:uid="{00000000-0005-0000-0000-0000FB000000}"/>
    <cellStyle name="Normal 3 6" xfId="105" xr:uid="{00000000-0005-0000-0000-0000FC000000}"/>
    <cellStyle name="Normal 3 6 2" xfId="316" xr:uid="{00000000-0005-0000-0000-0000FD000000}"/>
    <cellStyle name="Normal 3 6 3" xfId="315" xr:uid="{00000000-0005-0000-0000-0000FE000000}"/>
    <cellStyle name="Normal 3 7" xfId="109" xr:uid="{00000000-0005-0000-0000-0000FF000000}"/>
    <cellStyle name="Normal 3 7 2" xfId="159" xr:uid="{00000000-0005-0000-0000-000000010000}"/>
    <cellStyle name="Normal 3 7 2 2" xfId="318" xr:uid="{00000000-0005-0000-0000-000001010000}"/>
    <cellStyle name="Normal 3 7 3" xfId="317" xr:uid="{00000000-0005-0000-0000-000002010000}"/>
    <cellStyle name="Normal 3 8" xfId="113" xr:uid="{00000000-0005-0000-0000-000003010000}"/>
    <cellStyle name="Normal 3 8 2" xfId="320" xr:uid="{00000000-0005-0000-0000-000004010000}"/>
    <cellStyle name="Normal 3 8 3" xfId="319" xr:uid="{00000000-0005-0000-0000-000005010000}"/>
    <cellStyle name="Normal 3 9" xfId="117" xr:uid="{00000000-0005-0000-0000-000006010000}"/>
    <cellStyle name="Normal 3 9 2" xfId="321" xr:uid="{00000000-0005-0000-0000-000007010000}"/>
    <cellStyle name="Normal 4" xfId="46" xr:uid="{00000000-0005-0000-0000-000008010000}"/>
    <cellStyle name="Normal 4 10" xfId="429" xr:uid="{53951A0E-D954-48AF-B46E-9CD4DBFF096D}"/>
    <cellStyle name="Normal 4 2" xfId="50" xr:uid="{00000000-0005-0000-0000-000009010000}"/>
    <cellStyle name="Normal 4 2 2" xfId="322" xr:uid="{00000000-0005-0000-0000-00000A010000}"/>
    <cellStyle name="Normal 4 2 3" xfId="210" xr:uid="{00000000-0005-0000-0000-00000B010000}"/>
    <cellStyle name="Normal 4 3" xfId="82" xr:uid="{00000000-0005-0000-0000-00000C010000}"/>
    <cellStyle name="Normal 4 3 2" xfId="324" xr:uid="{00000000-0005-0000-0000-00000D010000}"/>
    <cellStyle name="Normal 4 3 3" xfId="323" xr:uid="{00000000-0005-0000-0000-00000E010000}"/>
    <cellStyle name="Normal 4 4" xfId="91" xr:uid="{00000000-0005-0000-0000-00000F010000}"/>
    <cellStyle name="Normal 4 4 2" xfId="326" xr:uid="{00000000-0005-0000-0000-000010010000}"/>
    <cellStyle name="Normal 4 4 3" xfId="325" xr:uid="{00000000-0005-0000-0000-000011010000}"/>
    <cellStyle name="Normal 4 5" xfId="108" xr:uid="{00000000-0005-0000-0000-000012010000}"/>
    <cellStyle name="Normal 4 5 2" xfId="328" xr:uid="{00000000-0005-0000-0000-000013010000}"/>
    <cellStyle name="Normal 4 5 3" xfId="327" xr:uid="{00000000-0005-0000-0000-000014010000}"/>
    <cellStyle name="Normal 4 6" xfId="128" xr:uid="{00000000-0005-0000-0000-000015010000}"/>
    <cellStyle name="Normal 4 6 2" xfId="330" xr:uid="{00000000-0005-0000-0000-000016010000}"/>
    <cellStyle name="Normal 4 6 3" xfId="329" xr:uid="{00000000-0005-0000-0000-000017010000}"/>
    <cellStyle name="Normal 4 7" xfId="132" xr:uid="{00000000-0005-0000-0000-000018010000}"/>
    <cellStyle name="Normal 4 7 2" xfId="332" xr:uid="{00000000-0005-0000-0000-000019010000}"/>
    <cellStyle name="Normal 4 7 3" xfId="331" xr:uid="{00000000-0005-0000-0000-00001A010000}"/>
    <cellStyle name="Normal 4 8" xfId="158" xr:uid="{00000000-0005-0000-0000-00001B010000}"/>
    <cellStyle name="Normal 4 8 2" xfId="334" xr:uid="{00000000-0005-0000-0000-00001C010000}"/>
    <cellStyle name="Normal 4 8 3" xfId="333" xr:uid="{00000000-0005-0000-0000-00001D010000}"/>
    <cellStyle name="Normal 4 9" xfId="412" xr:uid="{00000000-0005-0000-0000-00001E010000}"/>
    <cellStyle name="Normal 5" xfId="47" xr:uid="{00000000-0005-0000-0000-00001F010000}"/>
    <cellStyle name="Normal 5 2" xfId="65" xr:uid="{00000000-0005-0000-0000-000020010000}"/>
    <cellStyle name="Normal 5 2 2" xfId="336" xr:uid="{00000000-0005-0000-0000-000021010000}"/>
    <cellStyle name="Normal 5 2 3" xfId="335" xr:uid="{00000000-0005-0000-0000-000022010000}"/>
    <cellStyle name="Normal 5 3" xfId="337" xr:uid="{00000000-0005-0000-0000-000023010000}"/>
    <cellStyle name="Normal 5 4" xfId="414" xr:uid="{058C45E6-AD24-4725-998B-FD91F510B05C}"/>
    <cellStyle name="Normal 6" xfId="54" xr:uid="{00000000-0005-0000-0000-000024010000}"/>
    <cellStyle name="Normal 6 2" xfId="57" xr:uid="{00000000-0005-0000-0000-000025010000}"/>
    <cellStyle name="Normal 7" xfId="66" xr:uid="{00000000-0005-0000-0000-000026010000}"/>
    <cellStyle name="Normal 7 2" xfId="338" xr:uid="{00000000-0005-0000-0000-000027010000}"/>
    <cellStyle name="Normal 7 2 2" xfId="339" xr:uid="{00000000-0005-0000-0000-000028010000}"/>
    <cellStyle name="Normal 7 3" xfId="340" xr:uid="{00000000-0005-0000-0000-000029010000}"/>
    <cellStyle name="Normal 7 4" xfId="215" xr:uid="{00000000-0005-0000-0000-00002A010000}"/>
    <cellStyle name="Normal 7 5" xfId="418" xr:uid="{2C1E3D10-1AD3-4C04-A97C-371C4E139CE3}"/>
    <cellStyle name="Normal 8" xfId="67" xr:uid="{00000000-0005-0000-0000-00002B010000}"/>
    <cellStyle name="Normal 8 2" xfId="71" xr:uid="{00000000-0005-0000-0000-00002C010000}"/>
    <cellStyle name="Normal 8 2 2" xfId="343" xr:uid="{00000000-0005-0000-0000-00002D010000}"/>
    <cellStyle name="Normal 8 2 3" xfId="342" xr:uid="{00000000-0005-0000-0000-00002E010000}"/>
    <cellStyle name="Normal 8 2 4" xfId="433" xr:uid="{5AA9F025-A299-4D0C-A72E-041277CD0003}"/>
    <cellStyle name="Normal 8 2 4 2" xfId="450" xr:uid="{39F02865-6B4D-4842-B012-94460BA9D43D}"/>
    <cellStyle name="Normal 8 3" xfId="110" xr:uid="{00000000-0005-0000-0000-00002F010000}"/>
    <cellStyle name="Normal 8 3 2" xfId="160" xr:uid="{00000000-0005-0000-0000-000030010000}"/>
    <cellStyle name="Normal 8 3 3" xfId="344" xr:uid="{00000000-0005-0000-0000-000031010000}"/>
    <cellStyle name="Normal 8 4" xfId="341" xr:uid="{00000000-0005-0000-0000-000032010000}"/>
    <cellStyle name="Normal 8 5" xfId="444" xr:uid="{FD9D5B89-CFAD-4E1D-951E-FF035466EDBC}"/>
    <cellStyle name="Normal 9" xfId="61" xr:uid="{00000000-0005-0000-0000-000033010000}"/>
    <cellStyle name="Normal 9 2" xfId="144" xr:uid="{00000000-0005-0000-0000-000034010000}"/>
    <cellStyle name="Normal 9 2 2" xfId="346" xr:uid="{00000000-0005-0000-0000-000035010000}"/>
    <cellStyle name="Normal 9 2 2 2" xfId="104" xr:uid="{00000000-0005-0000-0000-000036010000}"/>
    <cellStyle name="Normal 9 2 2 2 2" xfId="225" xr:uid="{00000000-0005-0000-0000-000037010000}"/>
    <cellStyle name="Normal 9 2 3" xfId="347" xr:uid="{00000000-0005-0000-0000-000038010000}"/>
    <cellStyle name="Normal 9 2 4" xfId="345" xr:uid="{00000000-0005-0000-0000-000039010000}"/>
    <cellStyle name="Normal 9 3" xfId="348" xr:uid="{00000000-0005-0000-0000-00003A010000}"/>
    <cellStyle name="Normal 9 3 2" xfId="349" xr:uid="{00000000-0005-0000-0000-00003B010000}"/>
    <cellStyle name="Normal 9 4" xfId="99" xr:uid="{00000000-0005-0000-0000-00003C010000}"/>
    <cellStyle name="Normal 9 4 2" xfId="134" xr:uid="{00000000-0005-0000-0000-00003D010000}"/>
    <cellStyle name="Normal 9 4 3" xfId="147" xr:uid="{00000000-0005-0000-0000-00003E010000}"/>
    <cellStyle name="Normal 9 4 4" xfId="151" xr:uid="{00000000-0005-0000-0000-00003F010000}"/>
    <cellStyle name="Normal 9 4 5" xfId="222" xr:uid="{00000000-0005-0000-0000-000040010000}"/>
    <cellStyle name="Normal 9 5" xfId="220" xr:uid="{00000000-0005-0000-0000-000041010000}"/>
    <cellStyle name="Note" xfId="38" builtinId="10" customBuiltin="1"/>
    <cellStyle name="Note 10" xfId="423" xr:uid="{91D7B511-B75A-4722-AAA3-2812DD81A61A}"/>
    <cellStyle name="Note 2" xfId="85" xr:uid="{00000000-0005-0000-0000-000043010000}"/>
    <cellStyle name="Note 2 2" xfId="350" xr:uid="{00000000-0005-0000-0000-000044010000}"/>
    <cellStyle name="Note 2 3" xfId="203" xr:uid="{00000000-0005-0000-0000-000045010000}"/>
    <cellStyle name="Note 3" xfId="122" xr:uid="{00000000-0005-0000-0000-000046010000}"/>
    <cellStyle name="Note 3 2" xfId="351" xr:uid="{00000000-0005-0000-0000-000047010000}"/>
    <cellStyle name="Note 4" xfId="352" xr:uid="{00000000-0005-0000-0000-000048010000}"/>
    <cellStyle name="Note 4 2" xfId="353" xr:uid="{00000000-0005-0000-0000-000049010000}"/>
    <cellStyle name="Note 5" xfId="354" xr:uid="{00000000-0005-0000-0000-00004A010000}"/>
    <cellStyle name="Note 5 2" xfId="355" xr:uid="{00000000-0005-0000-0000-00004B010000}"/>
    <cellStyle name="Note 6" xfId="356" xr:uid="{00000000-0005-0000-0000-00004C010000}"/>
    <cellStyle name="Note 6 2" xfId="357" xr:uid="{00000000-0005-0000-0000-00004D010000}"/>
    <cellStyle name="Note 7" xfId="358" xr:uid="{00000000-0005-0000-0000-00004E010000}"/>
    <cellStyle name="Note 7 2" xfId="359" xr:uid="{00000000-0005-0000-0000-00004F010000}"/>
    <cellStyle name="Note 8" xfId="360" xr:uid="{00000000-0005-0000-0000-000050010000}"/>
    <cellStyle name="Note 8 2" xfId="361" xr:uid="{00000000-0005-0000-0000-000051010000}"/>
    <cellStyle name="Note 9" xfId="408" xr:uid="{00000000-0005-0000-0000-000052010000}"/>
    <cellStyle name="Output" xfId="39" builtinId="21" customBuiltin="1"/>
    <cellStyle name="Output 2" xfId="86" xr:uid="{00000000-0005-0000-0000-000054010000}"/>
    <cellStyle name="Output 2 2" xfId="362" xr:uid="{00000000-0005-0000-0000-000055010000}"/>
    <cellStyle name="Output 2 3" xfId="204" xr:uid="{00000000-0005-0000-0000-000056010000}"/>
    <cellStyle name="Output 3" xfId="123" xr:uid="{00000000-0005-0000-0000-000057010000}"/>
    <cellStyle name="Output 3 2" xfId="363" xr:uid="{00000000-0005-0000-0000-000058010000}"/>
    <cellStyle name="Output 3 3" xfId="212" xr:uid="{00000000-0005-0000-0000-000059010000}"/>
    <cellStyle name="Output 4" xfId="218" xr:uid="{00000000-0005-0000-0000-00005A010000}"/>
    <cellStyle name="Output 4 2" xfId="364" xr:uid="{00000000-0005-0000-0000-00005B010000}"/>
    <cellStyle name="Output 5" xfId="365" xr:uid="{00000000-0005-0000-0000-00005C010000}"/>
    <cellStyle name="Output 5 2" xfId="366" xr:uid="{00000000-0005-0000-0000-00005D010000}"/>
    <cellStyle name="Output 6" xfId="367" xr:uid="{00000000-0005-0000-0000-00005E010000}"/>
    <cellStyle name="Output 6 2" xfId="368" xr:uid="{00000000-0005-0000-0000-00005F010000}"/>
    <cellStyle name="Output 7" xfId="369" xr:uid="{00000000-0005-0000-0000-000060010000}"/>
    <cellStyle name="Output 7 2" xfId="370" xr:uid="{00000000-0005-0000-0000-000061010000}"/>
    <cellStyle name="Output 8" xfId="371" xr:uid="{00000000-0005-0000-0000-000062010000}"/>
    <cellStyle name="Output 8 2" xfId="372" xr:uid="{00000000-0005-0000-0000-000063010000}"/>
    <cellStyle name="Output 9" xfId="424" xr:uid="{0FF502EF-4078-46DC-9C52-D9954F4AFF44}"/>
    <cellStyle name="Percent" xfId="92" builtinId="5"/>
    <cellStyle name="Percent 2" xfId="45" xr:uid="{00000000-0005-0000-0000-000065010000}"/>
    <cellStyle name="Percent 2 10" xfId="373" xr:uid="{00000000-0005-0000-0000-000066010000}"/>
    <cellStyle name="Percent 2 11" xfId="165" xr:uid="{00000000-0005-0000-0000-000067010000}"/>
    <cellStyle name="Percent 2 12" xfId="411" xr:uid="{00000000-0005-0000-0000-000068010000}"/>
    <cellStyle name="Percent 2 13" xfId="428" xr:uid="{1F29A116-514C-4643-AC45-B0974820E7E4}"/>
    <cellStyle name="Percent 2 2" xfId="81" xr:uid="{00000000-0005-0000-0000-000069010000}"/>
    <cellStyle name="Percent 2 3" xfId="90" xr:uid="{00000000-0005-0000-0000-00006A010000}"/>
    <cellStyle name="Percent 2 3 2" xfId="375" xr:uid="{00000000-0005-0000-0000-00006B010000}"/>
    <cellStyle name="Percent 2 3 3" xfId="374" xr:uid="{00000000-0005-0000-0000-00006C010000}"/>
    <cellStyle name="Percent 2 4" xfId="95" xr:uid="{00000000-0005-0000-0000-00006D010000}"/>
    <cellStyle name="Percent 2 4 2" xfId="377" xr:uid="{00000000-0005-0000-0000-00006E010000}"/>
    <cellStyle name="Percent 2 4 3" xfId="376" xr:uid="{00000000-0005-0000-0000-00006F010000}"/>
    <cellStyle name="Percent 2 5" xfId="107" xr:uid="{00000000-0005-0000-0000-000070010000}"/>
    <cellStyle name="Percent 2 5 2" xfId="379" xr:uid="{00000000-0005-0000-0000-000071010000}"/>
    <cellStyle name="Percent 2 5 3" xfId="378" xr:uid="{00000000-0005-0000-0000-000072010000}"/>
    <cellStyle name="Percent 2 6" xfId="127" xr:uid="{00000000-0005-0000-0000-000073010000}"/>
    <cellStyle name="Percent 2 6 2" xfId="381" xr:uid="{00000000-0005-0000-0000-000074010000}"/>
    <cellStyle name="Percent 2 6 3" xfId="380" xr:uid="{00000000-0005-0000-0000-000075010000}"/>
    <cellStyle name="Percent 2 7" xfId="131" xr:uid="{00000000-0005-0000-0000-000076010000}"/>
    <cellStyle name="Percent 2 7 2" xfId="383" xr:uid="{00000000-0005-0000-0000-000077010000}"/>
    <cellStyle name="Percent 2 7 3" xfId="382" xr:uid="{00000000-0005-0000-0000-000078010000}"/>
    <cellStyle name="Percent 2 8" xfId="157" xr:uid="{00000000-0005-0000-0000-000079010000}"/>
    <cellStyle name="Percent 2 8 2" xfId="385" xr:uid="{00000000-0005-0000-0000-00007A010000}"/>
    <cellStyle name="Percent 2 8 3" xfId="384" xr:uid="{00000000-0005-0000-0000-00007B010000}"/>
    <cellStyle name="Percent 2 9" xfId="386" xr:uid="{00000000-0005-0000-0000-00007C010000}"/>
    <cellStyle name="Percent 2 9 2" xfId="387" xr:uid="{00000000-0005-0000-0000-00007D010000}"/>
    <cellStyle name="Percent 3" xfId="51" xr:uid="{00000000-0005-0000-0000-00007E010000}"/>
    <cellStyle name="Percent 3 2" xfId="80" xr:uid="{00000000-0005-0000-0000-00007F010000}"/>
    <cellStyle name="Percent 3 3" xfId="415" xr:uid="{3BAF9B68-4B79-4001-9261-167AF93E1757}"/>
    <cellStyle name="Percent 4" xfId="73" xr:uid="{00000000-0005-0000-0000-000080010000}"/>
    <cellStyle name="Percent 4 2" xfId="78" xr:uid="{00000000-0005-0000-0000-000081010000}"/>
    <cellStyle name="Percent 4 3" xfId="434" xr:uid="{54A783C7-363E-4447-8D36-98D41AF964D6}"/>
    <cellStyle name="Percent 4 3 2" xfId="451" xr:uid="{72003D36-DB69-4091-9578-5FFF667405A5}"/>
    <cellStyle name="Percent 5" xfId="388" xr:uid="{00000000-0005-0000-0000-000082010000}"/>
    <cellStyle name="Percent 5 2" xfId="389" xr:uid="{00000000-0005-0000-0000-000083010000}"/>
    <cellStyle name="Percent 5 2 2" xfId="390" xr:uid="{00000000-0005-0000-0000-000084010000}"/>
    <cellStyle name="Percent 5 3" xfId="391" xr:uid="{00000000-0005-0000-0000-000085010000}"/>
    <cellStyle name="Percent 6" xfId="392" xr:uid="{00000000-0005-0000-0000-000086010000}"/>
    <cellStyle name="Percent 7" xfId="74" xr:uid="{00000000-0005-0000-0000-000087010000}"/>
    <cellStyle name="Percent 8" xfId="166" xr:uid="{00000000-0005-0000-0000-000088010000}"/>
    <cellStyle name="Style 1" xfId="393" xr:uid="{00000000-0005-0000-0000-000089010000}"/>
    <cellStyle name="Style 2" xfId="394" xr:uid="{00000000-0005-0000-0000-00008A010000}"/>
    <cellStyle name="Title" xfId="40" builtinId="15" customBuiltin="1"/>
    <cellStyle name="Title 2" xfId="205" xr:uid="{00000000-0005-0000-0000-00008C010000}"/>
    <cellStyle name="Total" xfId="41" builtinId="25" customBuiltin="1"/>
    <cellStyle name="Total 2" xfId="87" xr:uid="{00000000-0005-0000-0000-00008E010000}"/>
    <cellStyle name="Total 2 2" xfId="395" xr:uid="{00000000-0005-0000-0000-00008F010000}"/>
    <cellStyle name="Total 2 3" xfId="206" xr:uid="{00000000-0005-0000-0000-000090010000}"/>
    <cellStyle name="Total 3" xfId="124" xr:uid="{00000000-0005-0000-0000-000091010000}"/>
    <cellStyle name="Total 3 2" xfId="396" xr:uid="{00000000-0005-0000-0000-000092010000}"/>
    <cellStyle name="Total 3 3" xfId="211" xr:uid="{00000000-0005-0000-0000-000093010000}"/>
    <cellStyle name="Total 4" xfId="219" xr:uid="{00000000-0005-0000-0000-000094010000}"/>
    <cellStyle name="Total 4 2" xfId="397" xr:uid="{00000000-0005-0000-0000-000095010000}"/>
    <cellStyle name="Total 5" xfId="398" xr:uid="{00000000-0005-0000-0000-000096010000}"/>
    <cellStyle name="Total 5 2" xfId="399" xr:uid="{00000000-0005-0000-0000-000097010000}"/>
    <cellStyle name="Total 6" xfId="400" xr:uid="{00000000-0005-0000-0000-000098010000}"/>
    <cellStyle name="Total 6 2" xfId="401" xr:uid="{00000000-0005-0000-0000-000099010000}"/>
    <cellStyle name="Total 7" xfId="402" xr:uid="{00000000-0005-0000-0000-00009A010000}"/>
    <cellStyle name="Total 7 2" xfId="403" xr:uid="{00000000-0005-0000-0000-00009B010000}"/>
    <cellStyle name="Total 8" xfId="404" xr:uid="{00000000-0005-0000-0000-00009C010000}"/>
    <cellStyle name="Total 8 2" xfId="405" xr:uid="{00000000-0005-0000-0000-00009D010000}"/>
    <cellStyle name="Total 9" xfId="425" xr:uid="{D3186769-E250-4D4B-A412-54FD68511FFE}"/>
    <cellStyle name="Warning Text" xfId="42" builtinId="11" customBuiltin="1"/>
    <cellStyle name="Warning Text 2" xfId="207" xr:uid="{00000000-0005-0000-0000-00009F010000}"/>
  </cellStyles>
  <dxfs count="217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color rgb="FFFF0000"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b/>
        <i val="0"/>
        <color rgb="FFFF0000"/>
      </font>
    </dxf>
    <dxf>
      <font>
        <b/>
        <i val="0"/>
        <color theme="1"/>
      </font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color rgb="FFFF0000"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b/>
        <i val="0"/>
        <color rgb="FFFF0000"/>
      </font>
    </dxf>
    <dxf>
      <font>
        <b/>
        <i val="0"/>
        <color theme="1"/>
      </font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color rgb="FFFF0000"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b/>
        <i val="0"/>
        <color rgb="FFFF0000"/>
      </font>
    </dxf>
    <dxf>
      <font>
        <b/>
        <i val="0"/>
        <color theme="1"/>
      </font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theme="6" tint="-0.24994659260841701"/>
      </font>
    </dxf>
    <dxf>
      <font>
        <color theme="3" tint="0.24994659260841701"/>
      </font>
    </dxf>
    <dxf>
      <font>
        <color theme="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numFmt numFmtId="167" formatCode="_(* #,##0.0000_);_(* \(#,##0.0000\);_(* &quot;-&quot;????_);_(@_)"/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color theme="3"/>
        <name val="Segoe UI"/>
        <family val="2"/>
        <scheme val="none"/>
      </font>
      <numFmt numFmtId="164" formatCode="_(&quot;$&quot;* #,##0_);_(&quot;$&quot;* \(#,##0\);_(&quot;$&quot;* &quot;-&quot;??_);_(@_)"/>
      <protection locked="1" hidden="0"/>
    </dxf>
    <dxf>
      <font>
        <strike val="0"/>
        <outline val="0"/>
        <shadow val="0"/>
        <u val="none"/>
        <vertAlign val="baseline"/>
        <sz val="10"/>
        <color theme="3"/>
        <name val="Segoe UI"/>
        <family val="2"/>
        <scheme val="none"/>
      </font>
      <numFmt numFmtId="164" formatCode="_(&quot;$&quot;* #,##0_);_(&quot;$&quot;* \(#,##0\);_(&quot;$&quot;* &quot;-&quot;??_);_(@_)"/>
      <protection locked="1" hidden="0"/>
    </dxf>
    <dxf>
      <font>
        <strike val="0"/>
        <outline val="0"/>
        <shadow val="0"/>
        <u val="none"/>
        <vertAlign val="baseline"/>
        <sz val="10"/>
        <color theme="3"/>
        <name val="Segoe UI"/>
        <family val="2"/>
        <scheme val="none"/>
      </font>
      <numFmt numFmtId="164" formatCode="_(&quot;$&quot;* #,##0_);_(&quot;$&quot;* \(#,##0\);_(&quot;$&quot;* &quot;-&quot;??_);_(@_)"/>
      <protection locked="1" hidden="0"/>
    </dxf>
    <dxf>
      <font>
        <strike val="0"/>
        <outline val="0"/>
        <shadow val="0"/>
        <u val="none"/>
        <vertAlign val="baseline"/>
        <sz val="10"/>
        <color theme="3"/>
        <name val="Segoe UI"/>
        <family val="2"/>
        <scheme val="none"/>
      </font>
      <numFmt numFmtId="164" formatCode="_(&quot;$&quot;* #,##0_);_(&quot;$&quot;* \(#,##0\);_(&quot;$&quot;* &quot;-&quot;??_);_(@_)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Segoe UI"/>
        <family val="2"/>
        <scheme val="none"/>
      </font>
      <numFmt numFmtId="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numFmt numFmtId="0" formatCode="General"/>
      <fill>
        <patternFill patternType="solid">
          <fgColor theme="7"/>
          <bgColor theme="7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Segoe UI"/>
        <family val="2"/>
        <scheme val="none"/>
      </font>
      <numFmt numFmtId="5" formatCode="#,##0_);\(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numFmt numFmtId="0" formatCode="General"/>
      <fill>
        <patternFill patternType="solid">
          <fgColor theme="7"/>
          <bgColor theme="7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family val="2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family val="2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Segoe UI"/>
        <family val="2"/>
        <scheme val="none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3"/>
        <name val="Segoe UI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Segoe UI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mruColors>
      <color rgb="FFFFFFCC"/>
      <color rgb="FFFDE9D9"/>
      <color rgb="FFFFFF99"/>
      <color rgb="FFFF99CC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zar, Paige (DRPT)" id="{47763035-7F4B-492D-943D-0AC8478C60E9}" userId="S::Paige.Lazar@drpt.virginia.gov::e94c36c9-bd70-40bd-834e-ecaef842054c" providerId="AD"/>
  <person displayName="Oware, Deanna (DRPT)" id="{57DCBE11-4CAB-4DDA-AF5D-25BAA0F5CE29}" userId="S::deanna.oware@drpt.virginia.gov::ba2b3b6a-5257-455a-a4bf-6f554de8950e" providerId="AD"/>
  <person displayName="Stankus, Grace (DRPT)" id="{26135B57-CE44-4E06-A6A0-2C3758392D60}" userId="S::Grace.Stankus@drpt.virginia.gov::fa3f1947-1c87-4ab2-be98-d27d63021bc9" providerId="AD"/>
  <person displayName="Sonenklar, Daniel (DRPT)" id="{219E334E-AE50-4B81-9DCE-64E13525D414}" userId="S::Daniel.Sonenklar@drpt.virginia.gov::d6f481ed-ad39-4e2c-b444-88caac57196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F5DBD3-E7A3-4CAF-9F96-87C4B27301AE}" name="Ridership" displayName="Ridership" ref="A1:M40" totalsRowShown="0" dataDxfId="216">
  <autoFilter ref="A1:M40" xr:uid="{7DF5DBD3-E7A3-4CAF-9F96-87C4B27301AE}"/>
  <sortState xmlns:xlrd2="http://schemas.microsoft.com/office/spreadsheetml/2017/richdata2" ref="A2:I40">
    <sortCondition ref="H1:H40"/>
  </sortState>
  <tableColumns count="13">
    <tableColumn id="1" xr3:uid="{22DDCF42-813E-4C8F-B655-2735E692B2E5}" name="Agency" dataDxfId="215" dataCellStyle="Normal 10 5"/>
    <tableColumn id="10" xr3:uid="{E6B50AF6-DD33-4DF7-817F-AEB98D4438A5}" name="FY21 Ridership" dataDxfId="214" dataCellStyle="Comma 2 2 2"/>
    <tableColumn id="2" xr3:uid="{63A1B9B3-363A-4A74-8C29-4C12DCD54EAA}" name="FY22 Ridership2" dataDxfId="213" dataCellStyle="Normal 10 5"/>
    <tableColumn id="3" xr3:uid="{CB93CB13-0554-4841-9CA8-C090B3371B7D}" name="FY23 Ridership" dataDxfId="212" dataCellStyle="Comma 2 2 2"/>
    <tableColumn id="4" xr3:uid="{BE04D0B7-A507-4F73-93C0-3B87705C9F8D}" name="FY24 Ridership" dataDxfId="211" dataCellStyle="Normal 10 5"/>
    <tableColumn id="5" xr3:uid="{472B8CE9-B5D2-4697-AEEF-E4BB4139F7ED}" name="FY25 Ridership" dataDxfId="210" dataCellStyle="Comma 2 2 2"/>
    <tableColumn id="6" xr3:uid="{DFB46BA1-94F2-4FEA-AB69-DFD01F0A81C1}" name="Construction District" dataDxfId="209" dataCellStyle="Normal 8 2 4"/>
    <tableColumn id="7" xr3:uid="{47BE9B5D-9C3F-4AA8-98C2-66EED0F181CB}" name="SYIP Order" dataDxfId="208" dataCellStyle="Normal 10 5"/>
    <tableColumn id="8" xr3:uid="{4C600682-5F5C-4CCE-8560-96B5B0A8E325}" name="Alphabetical Order" dataDxfId="207" dataCellStyle="Normal 10 5"/>
    <tableColumn id="9" xr3:uid="{6B41B252-D5B3-4BAE-B62F-3D2791F6178C}" name="3-Year Average FY27" dataDxfId="206" dataCellStyle="Comma">
      <calculatedColumnFormula>AVERAGE(Ridership[[#This Row],[FY23 Ridership]:[FY25 Ridership]])</calculatedColumnFormula>
    </tableColumn>
    <tableColumn id="11" xr3:uid="{160ECE8B-7513-4C91-94E8-B4481348F65E}" name="3-Year Average FY26" dataDxfId="205">
      <calculatedColumnFormula>AVERAGE(Ridership[[#This Row],[FY22 Ridership2]:[FY24 Ridership]])</calculatedColumnFormula>
    </tableColumn>
    <tableColumn id="12" xr3:uid="{41DFB760-82C0-4921-B61F-3188514D19C4}" name="3-Year Average FY25" dataDxfId="204">
      <calculatedColumnFormula>AVERAGE(Ridership[[#This Row],[FY21 Ridership]:[FY23 Ridership]])</calculatedColumnFormula>
    </tableColumn>
    <tableColumn id="13" xr3:uid="{51DB3C48-9877-40D9-90A8-2B82ECFC920A}" name="Agency Type" dataDxfId="203">
      <calculatedColumnFormula>VLOOKUP(Ridership[[#This Row],[Agency]],Assumptions!$B$35:$C$73, 2, FALSE)</calculatedColumnFormula>
    </tableColumn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BF253D2-0180-48A6-8794-C6F75E2733CC}" name="VRH" displayName="VRH" ref="A1:I40" totalsRowShown="0" headerRowDxfId="202">
  <autoFilter ref="A1:I40" xr:uid="{FBF253D2-0180-48A6-8794-C6F75E2733CC}"/>
  <sortState xmlns:xlrd2="http://schemas.microsoft.com/office/spreadsheetml/2017/richdata2" ref="A2:H40">
    <sortCondition ref="G1:G40"/>
  </sortState>
  <tableColumns count="9">
    <tableColumn id="1" xr3:uid="{73D4B76F-20E6-459A-B286-EF089F1598C0}" name="Agency" dataDxfId="201" dataCellStyle="Normal 10 5"/>
    <tableColumn id="2" xr3:uid="{C42CB013-CC4D-489E-AF53-320B26A1D464}" name="FY22 Revenue Hours" dataDxfId="200" dataCellStyle="Normal 10 5"/>
    <tableColumn id="3" xr3:uid="{27C707EC-AF82-4C47-97FA-18C63FABE934}" name="FY23 Revenue Hours" dataDxfId="199" dataCellStyle="Normal 10 5"/>
    <tableColumn id="4" xr3:uid="{0EB6F67B-E462-4FFD-964F-F3A31F759D7C}" name="FY24 Revenue Hours" dataDxfId="198" dataCellStyle="Normal 10 5"/>
    <tableColumn id="5" xr3:uid="{498F4B2A-6950-463F-AE14-8613538AFF2A}" name="FY25 Revenue Hours" dataDxfId="197" dataCellStyle="Normal 10 5"/>
    <tableColumn id="6" xr3:uid="{78604642-F7AE-4399-BEBE-32D070ABE55E}" name="Construction District" dataDxfId="196" dataCellStyle="Normal 8 2 4"/>
    <tableColumn id="7" xr3:uid="{6A42854F-F143-493B-819C-088835A2144C}" name="SYIP Order" dataDxfId="195" dataCellStyle="Normal 10 5"/>
    <tableColumn id="8" xr3:uid="{DB27A785-6FA1-4193-9366-925C626C487A}" name="Alphabetical Order" dataDxfId="194" dataCellStyle="Normal 10 5"/>
    <tableColumn id="9" xr3:uid="{5BFF0696-5500-4630-A159-BBB3F269E5C2}" name="3-Year Average FY27" dataDxfId="193" dataCellStyle="Currency">
      <calculatedColumnFormula>AVERAGE(VRH[[#This Row],[FY23 Revenue Hours]:[FY25 Revenue Hours]])</calculatedColumnFormula>
    </tableColumn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1D7E8F-FB47-401A-85AD-D6CB521180BE}" name="VRHsizing" displayName="VRHsizing" ref="A1:M40" totalsRowShown="0" headerRowDxfId="192">
  <autoFilter ref="A1:M40" xr:uid="{FBF253D2-0180-48A6-8794-C6F75E2733CC}"/>
  <sortState xmlns:xlrd2="http://schemas.microsoft.com/office/spreadsheetml/2017/richdata2" ref="A2:I40">
    <sortCondition ref="H1:H40"/>
  </sortState>
  <tableColumns count="13">
    <tableColumn id="1" xr3:uid="{8B72772D-8BC1-4785-A6EC-7EBFA6C2986D}" name="Agency" dataDxfId="191" dataCellStyle="Normal 10 5"/>
    <tableColumn id="10" xr3:uid="{46576655-9C37-40A2-863E-9C35E5DA7B67}" name="FY21 Revenue Hours" dataDxfId="190" dataCellStyle="Normal 10 5"/>
    <tableColumn id="2" xr3:uid="{26A150B8-8A08-4CDA-8C20-50F28401812C}" name="FY22 Revenue Hours2" dataDxfId="189" dataCellStyle="Normal 10 5"/>
    <tableColumn id="3" xr3:uid="{89518FB4-0B5B-4B0A-AE97-C563088EC00A}" name="FY23 Revenue Hours" dataDxfId="188" dataCellStyle="Normal 10 5"/>
    <tableColumn id="4" xr3:uid="{DD08C2D5-37FB-4359-9D53-3B9BFCC45E34}" name="FY24 Revenue Hours" dataDxfId="187" dataCellStyle="Normal 10 5"/>
    <tableColumn id="5" xr3:uid="{666B2534-F036-422E-B6E8-94B6548FDFF3}" name="FY25 Revenue Hours" dataDxfId="186" dataCellStyle="Normal 10 5"/>
    <tableColumn id="6" xr3:uid="{8047C1FC-6115-45EC-9ED9-95B846AC518B}" name="Construction District" dataDxfId="185" dataCellStyle="Normal 8 2 4"/>
    <tableColumn id="7" xr3:uid="{79604E2E-3859-451D-B8F0-4F251514308A}" name="SYIP Order" dataDxfId="184" dataCellStyle="Normal 10 5"/>
    <tableColumn id="8" xr3:uid="{8504226E-A17B-48C4-9B3E-B328BE5727F3}" name="Alphabetical Order" dataDxfId="183" dataCellStyle="Normal 10 5"/>
    <tableColumn id="9" xr3:uid="{315DD7F6-6C14-4103-907D-683D48BE1F9A}" name="3-Year Average FY27" dataDxfId="182" dataCellStyle="Comma">
      <calculatedColumnFormula>AVERAGE(VRHsizing[[#This Row],[FY23 Revenue Hours]:[FY25 Revenue Hours]])</calculatedColumnFormula>
    </tableColumn>
    <tableColumn id="11" xr3:uid="{F68D1F14-F288-48F1-82CB-189E9C3036FC}" name="3-Year Average FY26" dataDxfId="181" dataCellStyle="Comma">
      <calculatedColumnFormula>AVERAGE(VRHsizing[[#This Row],[FY22 Revenue Hours2]:[FY24 Revenue Hours]])</calculatedColumnFormula>
    </tableColumn>
    <tableColumn id="12" xr3:uid="{E76DE709-FF85-470B-8FD2-38233C802F68}" name="3-Year Average FY25" dataDxfId="180" dataCellStyle="Comma">
      <calculatedColumnFormula>AVERAGE(VRHsizing[[#This Row],[FY21 Revenue Hours]:[FY23 Revenue Hours]])</calculatedColumnFormula>
    </tableColumn>
    <tableColumn id="13" xr3:uid="{56702C20-A3A7-4322-B6AB-C8D6B1F74DCA}" name="Agency Type" dataDxfId="179" dataCellStyle="Normal 10 5">
      <calculatedColumnFormula>VLOOKUP(Ridership[[#This Row],[Agency]],Assumptions!$B$35:$C$73, 2, FALSE)</calculatedColumnFormula>
    </tableColumn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FD4A7F-9159-48F4-B20C-A1CC34A5DAFD}" name="VRM" displayName="VRM" ref="A1:I40" totalsRowShown="0" headerRowDxfId="178" headerRowCellStyle="Normal 10 5">
  <autoFilter ref="A1:I40" xr:uid="{B1FD4A7F-9159-48F4-B20C-A1CC34A5DAFD}"/>
  <sortState xmlns:xlrd2="http://schemas.microsoft.com/office/spreadsheetml/2017/richdata2" ref="A2:I40">
    <sortCondition ref="H1:H40"/>
  </sortState>
  <tableColumns count="9">
    <tableColumn id="1" xr3:uid="{742AFD65-4CCC-4E39-B589-472AB33AF240}" name="Agency" dataDxfId="177" dataCellStyle="Normal 10 5"/>
    <tableColumn id="9" xr3:uid="{56C156A9-A68F-43D0-B3A6-F39ED98DEEA1}" name="FY21 Revenue Miles" dataDxfId="176" dataCellStyle="Normal 10 5"/>
    <tableColumn id="2" xr3:uid="{F0559289-852B-40EE-B543-F82BDA890819}" name="FY22 Revenue Miles2" dataDxfId="175" dataCellStyle="Normal 10 5"/>
    <tableColumn id="3" xr3:uid="{D09F2046-B560-45AA-81FF-5A08B336DACB}" name="FY23 Revenue Miles" dataDxfId="174"/>
    <tableColumn id="4" xr3:uid="{CC932B64-1677-4DB6-A547-BB9C85E935EF}" name="FY24 Revenue Miles" dataDxfId="173" dataCellStyle="Normal 10 5"/>
    <tableColumn id="5" xr3:uid="{12DF193E-E77C-43AA-8B7D-8E0775FA133C}" name="FY25 Revenue Miles" dataDxfId="172" dataCellStyle="Normal 10 5"/>
    <tableColumn id="6" xr3:uid="{D036A7F0-9CA1-449F-9C5F-C282C1FC6D54}" name="Construction District" dataDxfId="171" dataCellStyle="Normal 8 2 4"/>
    <tableColumn id="7" xr3:uid="{CFBCBBBB-BCB5-41EC-BA28-C5AB7AAB3649}" name="SYIP Order" dataDxfId="170" dataCellStyle="Normal 10 5"/>
    <tableColumn id="8" xr3:uid="{BFB6AC1C-F592-4C45-8B90-A878A524041F}" name="Alphabetical Order" dataDxfId="169" dataCellStyle="Normal 10 5"/>
  </tableColumns>
  <tableStyleInfo name="TableStyleMedium1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DB26316-8DE9-42FC-B2C4-12DCC8085D78}" name="VRMsizing" displayName="VRMsizing" ref="A1:M40" totalsRowShown="0" headerRowDxfId="168" headerRowCellStyle="Normal 10 5">
  <autoFilter ref="A1:M40" xr:uid="{B1FD4A7F-9159-48F4-B20C-A1CC34A5DAFD}"/>
  <sortState xmlns:xlrd2="http://schemas.microsoft.com/office/spreadsheetml/2017/richdata2" ref="A2:I40">
    <sortCondition ref="H1:H40"/>
  </sortState>
  <tableColumns count="13">
    <tableColumn id="1" xr3:uid="{4D055E94-B153-4F91-BC5C-8F2D4A07E11D}" name="Agency" dataDxfId="167" dataCellStyle="Normal 10 5"/>
    <tableColumn id="10" xr3:uid="{12D36B75-04BB-4E86-96C4-29E1B71C289A}" name="FY21 Revenue Miles" dataDxfId="166" dataCellStyle="Normal 10 5"/>
    <tableColumn id="2" xr3:uid="{75B44487-F0F7-4BB3-92B7-4D10EADC6693}" name="FY22 Revenue Miles2" dataDxfId="165" dataCellStyle="Normal 10 5"/>
    <tableColumn id="3" xr3:uid="{3F4C5C65-A2A4-4FB7-ABAD-AD4CE0EDECC6}" name="FY23 Revenue Miles" dataDxfId="164"/>
    <tableColumn id="4" xr3:uid="{1C26B1CA-286A-4A6E-B8E8-198FEE7327CD}" name="FY24 Revenue Miles" dataDxfId="163" dataCellStyle="Normal 10 5"/>
    <tableColumn id="5" xr3:uid="{DB675CAC-F5F2-448B-88EF-9B4A41D17F96}" name="FY25 Revenue Miles" dataDxfId="162" dataCellStyle="Normal 10 5"/>
    <tableColumn id="6" xr3:uid="{BC16EE68-A3F6-416E-8F48-87358D384198}" name="Construction District" dataDxfId="161" dataCellStyle="Normal 8 2 4"/>
    <tableColumn id="7" xr3:uid="{430C5709-9A77-4D5C-BD75-E444D1A76925}" name="SYIP Order" dataDxfId="160" dataCellStyle="Normal 10 5"/>
    <tableColumn id="8" xr3:uid="{02A2EA88-CA5D-4A9A-805D-796F890027D3}" name="Alphabetical Order" dataDxfId="159" dataCellStyle="Normal 10 5"/>
    <tableColumn id="9" xr3:uid="{BDCF433C-42DA-40EC-8A52-0282E9AB9F6A}" name="3-Year Average FY27" dataDxfId="158" dataCellStyle="Comma">
      <calculatedColumnFormula>AVERAGE(VRMsizing[[#This Row],[FY23 Revenue Miles]:[FY25 Revenue Miles]])</calculatedColumnFormula>
    </tableColumn>
    <tableColumn id="11" xr3:uid="{E9FD31D9-0BF6-40D6-BB9B-4845B8DB89C9}" name="3-Year Average FY26" dataDxfId="157" dataCellStyle="Normal 10 5">
      <calculatedColumnFormula>AVERAGE(VRMsizing[[#This Row],[FY22 Revenue Miles2]:[FY24 Revenue Miles]])</calculatedColumnFormula>
    </tableColumn>
    <tableColumn id="12" xr3:uid="{B6C5CFC4-53B3-45BB-AE11-82937799695C}" name="3-Year Average FY25" dataDxfId="156" dataCellStyle="Normal 10 5">
      <calculatedColumnFormula>AVERAGE(VRMsizing[[#This Row],[FY21 Revenue Miles]:[FY23 Revenue Miles]])</calculatedColumnFormula>
    </tableColumn>
    <tableColumn id="13" xr3:uid="{DF672AA9-A198-4E35-9C54-36AD4A347734}" name="Agency Type" dataDxfId="155" dataCellStyle="Normal 10 5">
      <calculatedColumnFormula>VLOOKUP(Ridership[[#This Row],[Agency]],Assumptions!$B$35:$C$73, 2, FALSE)</calculatedColumnFormula>
    </tableColumn>
  </tableColumns>
  <tableStyleInfo name="TableStyleMedium1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0015B1B-DB32-494D-AD60-6B840589E8C0}" name="OpCost" displayName="OpCost" ref="A1:M40" totalsRowShown="0" headerRowDxfId="154" dataDxfId="153">
  <autoFilter ref="A1:M40" xr:uid="{C0015B1B-DB32-494D-AD60-6B840589E8C0}"/>
  <sortState xmlns:xlrd2="http://schemas.microsoft.com/office/spreadsheetml/2017/richdata2" ref="A2:I40">
    <sortCondition ref="H1:H40"/>
  </sortState>
  <tableColumns count="13">
    <tableColumn id="1" xr3:uid="{C437131F-79B7-4EC7-A6A7-935DE72C99DF}" name="Agency" dataDxfId="152" dataCellStyle="Normal 10 5"/>
    <tableColumn id="12" xr3:uid="{263D7A8D-5352-4466-808F-17E4BA30AC1B}" name="FY21 Operating Cost Performance" dataDxfId="151" dataCellStyle="Comma 11 2"/>
    <tableColumn id="2" xr3:uid="{D41D5D30-8F65-4E61-8BEF-D83288CEB90F}" name="FY22 Operating Cost Performance2" dataDxfId="150" dataCellStyle="Comma 11 2"/>
    <tableColumn id="3" xr3:uid="{8FF8509E-C466-40CF-BF17-F278C41E6BCA}" name="FY23 Operating Cost Performance" dataDxfId="149" dataCellStyle="Comma 2 2"/>
    <tableColumn id="4" xr3:uid="{E139F0EE-1054-438E-BA23-FF32E46852D6}" name="FY24 Operating Cost Performance" dataDxfId="148" dataCellStyle="Comma"/>
    <tableColumn id="5" xr3:uid="{7CB3F69F-1CEA-4B7F-A038-77E49DDDC6F5}" name="FY25 Operating Cost Performance" dataDxfId="147" dataCellStyle="Currency"/>
    <tableColumn id="6" xr3:uid="{9D8AC085-EFBE-4D81-A6D2-A8A9108133D6}" name="Construction District" dataDxfId="146" dataCellStyle="Normal 8 2 4"/>
    <tableColumn id="7" xr3:uid="{4AAEF88C-31C8-4083-9943-49D515FCFF6C}" name="SYIP Order" dataDxfId="145" dataCellStyle="Normal 10 5"/>
    <tableColumn id="8" xr3:uid="{29B628C7-359B-4DD9-91D8-11974DEE094F}" name="Alphabetical Order" dataDxfId="144" dataCellStyle="Normal 10 5"/>
    <tableColumn id="9" xr3:uid="{94FC58C9-3D30-44D0-A196-5D362ACBA6C9}" name="3-Year Average FY27" dataDxfId="143" dataCellStyle="Currency">
      <calculatedColumnFormula>AVERAGE(OpCost[[#This Row],[FY23 Operating Cost Performance]:[FY25 Operating Cost Performance]])</calculatedColumnFormula>
    </tableColumn>
    <tableColumn id="10" xr3:uid="{D6B3F712-E72F-443C-91C5-0F5975C06C09}" name="3-Year Average FY26" dataDxfId="142" dataCellStyle="Currency">
      <calculatedColumnFormula>AVERAGE(OpCost[[#This Row],[FY22 Operating Cost Performance2]:[FY24 Operating Cost Performance]])</calculatedColumnFormula>
    </tableColumn>
    <tableColumn id="13" xr3:uid="{EDAAF12C-FFAA-4DE1-BE2F-63D038C88BA0}" name="3-Year Average FY25" dataDxfId="141" dataCellStyle="Currency">
      <calculatedColumnFormula>AVERAGE(OpCost[[#This Row],[FY21 Operating Cost Performance]:[FY23 Operating Cost Performance]])</calculatedColumnFormula>
    </tableColumn>
    <tableColumn id="14" xr3:uid="{FBB2ADC9-3529-4D23-AC00-2BCA5E8CEE01}" name="Agency Type" dataDxfId="140" dataCellStyle="Currency">
      <calculatedColumnFormula>VLOOKUP(Ridership[[#This Row],[Agency]],Assumptions!$B$35:$C$73, 2, FALSE)</calculatedColumnFormula>
    </tableColumn>
  </tableColumns>
  <tableStyleInfo name="TableStyleMedium2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91D65A9-41B4-45C2-8B14-F39CAFF72C49}" name="Table7" displayName="Table7" ref="A1:E40" totalsRowShown="0" headerRowDxfId="139" dataDxfId="138" headerRowCellStyle="Normal 10 5">
  <autoFilter ref="A1:E40" xr:uid="{C91D65A9-41B4-45C2-8B14-F39CAFF72C49}"/>
  <sortState xmlns:xlrd2="http://schemas.microsoft.com/office/spreadsheetml/2017/richdata2" ref="A2:E40">
    <sortCondition ref="D1:D40"/>
  </sortState>
  <tableColumns count="5">
    <tableColumn id="1" xr3:uid="{A072C3FF-65C9-4F58-B54A-205EA77642BA}" name="Agency" dataDxfId="137" dataCellStyle="Normal 10 5"/>
    <tableColumn id="2" xr3:uid="{9B466E28-9345-427F-9A52-DD2EA9A8C0B8}" name="FY25 Op Cost Sizing" dataDxfId="136" dataCellStyle="Comma"/>
    <tableColumn id="3" xr3:uid="{1B9BE7AA-D5FD-4032-A33F-2A01039CCAE6}" name="Construction District" dataDxfId="135" dataCellStyle="Normal 8 2 4"/>
    <tableColumn id="4" xr3:uid="{F267FD47-A3C7-46E3-AD34-2C08934EFCA1}" name="SYIP Order" dataDxfId="134" dataCellStyle="Normal 10 5"/>
    <tableColumn id="5" xr3:uid="{B9D793F8-D6A7-4AC1-8E47-FE14BE53408A}" name="Alphabetical Order" dataDxfId="133" dataCellStyle="Normal 10 5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0B254A-A880-4E92-9163-4ADB72612DFC}" name="Table1" displayName="Table1" ref="A2:D40" totalsRowShown="0" headerRowDxfId="132" headerRowCellStyle="Normal 4 2">
  <autoFilter ref="A2:D40" xr:uid="{600B254A-A880-4E92-9163-4ADB72612DFC}"/>
  <sortState xmlns:xlrd2="http://schemas.microsoft.com/office/spreadsheetml/2017/richdata2" ref="A3:D40">
    <sortCondition ref="C2:C40"/>
  </sortState>
  <tableColumns count="4">
    <tableColumn id="1" xr3:uid="{9EF459D5-FDB2-411D-BA60-34A3761242ED}" name="Construction District" dataDxfId="131" dataCellStyle="Normal 8 2 4"/>
    <tableColumn id="2" xr3:uid="{836B6088-3E71-480E-9B00-7125D0A63B49}" name="Recipient (Eligible Agency)" dataDxfId="130" dataCellStyle="Comma 2 2 2"/>
    <tableColumn id="3" xr3:uid="{03F8C371-DD23-4EB1-A3CB-C410D62934D6}" name="SYIP Order"/>
    <tableColumn id="4" xr3:uid="{D7E3EFAF-F5D5-44AC-A7A3-6762A8BC4DB3}" name="Alphabetical Order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5-02-24T18:44:12.58" personId="{219E334E-AE50-4B81-9DCE-64E13525D414}" id="{8C64585B-2E70-4F91-BE32-966B1822472C}">
    <text>Added paratransit to CATs figures for FY21-FY24.</text>
  </threadedComment>
  <threadedComment ref="D7" dT="2025-02-24T18:44:20.93" personId="{219E334E-AE50-4B81-9DCE-64E13525D414}" id="{A277141A-ADF9-45D5-BD75-EB5B2062E9F5}">
    <text>Added paratransit to CATs figures for FY21-FY24.</text>
  </threadedComment>
  <threadedComment ref="E7" dT="2025-02-24T18:44:24.77" personId="{219E334E-AE50-4B81-9DCE-64E13525D414}" id="{6CF1EA1E-3733-4B11-9B16-AA9D1C5B49E0}">
    <text>Added paratransit to CATs figures for FY21-FY24.</text>
  </threadedComment>
  <threadedComment ref="E19" dT="2026-03-06T16:57:31.55" personId="{219E334E-AE50-4B81-9DCE-64E13525D414}" id="{C1D75439-8966-49E2-9353-8E3BC3E25989}">
    <text>Adjusted 3/6/26 based on updates provided in performance data reporting.</text>
  </threadedComment>
  <threadedComment ref="D24" dT="2025-02-20T16:48:24.53" personId="{26135B57-CE44-4E06-A6A0-2C3758392D60}" id="{1382D314-2C60-4B4F-85A4-FC9D3AC77C83}">
    <text>Updated this figure.</text>
  </threadedComment>
  <threadedComment ref="D24" dT="2025-02-24T18:44:43.51" personId="{219E334E-AE50-4B81-9DCE-64E13525D414}" id="{82E0F10E-2D64-4024-B7D5-EDA14E7469FF}" parentId="{1382D314-2C60-4B4F-85A4-FC9D3AC77C83}">
    <text>To reflect PRTC requested changes to FY23 reporting.</text>
  </threadedComment>
  <threadedComment ref="C37" dT="2025-02-24T18:45:32.06" personId="{219E334E-AE50-4B81-9DCE-64E13525D414}" id="{CECEC50C-D98C-41D0-9DFC-D8AA504DB917}">
    <text>Removed paratransit from Jaunts figures for FY21-FY24.</text>
  </threadedComment>
  <threadedComment ref="D37" dT="2025-02-24T18:45:37.06" personId="{219E334E-AE50-4B81-9DCE-64E13525D414}" id="{B6BBADEE-A052-46F2-8C29-376708320714}">
    <text>Removed paratransit from Jaunts figures for FY21-FY24.</text>
  </threadedComment>
  <threadedComment ref="E37" dT="2025-02-24T18:45:40.90" personId="{219E334E-AE50-4B81-9DCE-64E13525D414}" id="{9EC8208F-C73C-42C0-8F79-45ED2DF969BC}">
    <text>Removed paratransit from Jaunts figures for FY21-FY24.</text>
  </threadedComment>
  <threadedComment ref="D40" dT="2024-01-17T20:06:32.03" personId="{219E334E-AE50-4B81-9DCE-64E13525D414}" id="{8F652480-9BCA-4DD5-BA73-2A56E37C5FA3}">
    <text>Combined VRT and NSVRC (ShenGo Demo) reported figures.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7" dT="2025-02-24T18:43:53.78" personId="{219E334E-AE50-4B81-9DCE-64E13525D414}" id="{E37A4BEF-C96C-4BA1-A0D2-A7F822B2D3AE}">
    <text>Added paratransit to CATs figures for FY21-FY24.</text>
  </threadedComment>
  <threadedComment ref="C7" dT="2025-02-24T18:43:58.32" personId="{219E334E-AE50-4B81-9DCE-64E13525D414}" id="{CAA8D374-F452-465E-A64F-9E1F4248FCE8}">
    <text>Added paratransit to CATs figures for FY21-FY24.</text>
  </threadedComment>
  <threadedComment ref="D7" dT="2025-02-24T18:44:03.54" personId="{219E334E-AE50-4B81-9DCE-64E13525D414}" id="{C4EFF538-7791-4C5F-9327-165D799F44C9}">
    <text>Added paratransit to CATs figures for FY21-FY24.</text>
  </threadedComment>
  <threadedComment ref="D13" dT="2026-03-06T17:01:15.59" personId="{219E334E-AE50-4B81-9DCE-64E13525D414}" id="{6EA59C85-F490-40F9-95E6-D88E836D9180}">
    <text>Adjusted 3/6/26 based on RY24 NTD reporting</text>
  </threadedComment>
  <threadedComment ref="B19" dT="2026-02-26T17:34:47.30" personId="{219E334E-AE50-4B81-9DCE-64E13525D414}" id="{2144C367-A545-477F-B335-63A5765A6A78}">
    <text>Reduced Deadhead for Performance Metrics</text>
  </threadedComment>
  <threadedComment ref="C19" dT="2026-02-26T17:34:55.89" personId="{219E334E-AE50-4B81-9DCE-64E13525D414}" id="{BC14373F-05BB-47C1-B067-B00C6710F294}">
    <text>Reduced Deadhead for Performance Metrics</text>
  </threadedComment>
  <threadedComment ref="D19" dT="2026-02-26T17:35:01.10" personId="{219E334E-AE50-4B81-9DCE-64E13525D414}" id="{2BB57FDB-9511-4635-940B-CB537A2F309E}">
    <text>Reduced Deadhead for Performance Metrics</text>
  </threadedComment>
  <threadedComment ref="E19" dT="2026-03-02T13:50:02.05" personId="{219E334E-AE50-4B81-9DCE-64E13525D414}" id="{EAB1F975-983B-40CD-BBA6-5D4250BE0276}">
    <text>Reduced Deadhead for Performance Metrics</text>
  </threadedComment>
  <threadedComment ref="B23" dT="2026-02-26T17:35:38.98" personId="{219E334E-AE50-4B81-9DCE-64E13525D414}" id="{06C4B437-0788-4920-A22A-C0FDEADB261C}">
    <text>Reduced Deadhead for Performance Metrics</text>
  </threadedComment>
  <threadedComment ref="B24" dT="2026-02-26T17:35:56.66" personId="{219E334E-AE50-4B81-9DCE-64E13525D414}" id="{C0E47389-8B10-47AD-8A49-8018C97803AD}">
    <text>Reduced Deadhead for Performance Metrics</text>
  </threadedComment>
  <threadedComment ref="C24" dT="2026-02-26T17:36:00.59" personId="{219E334E-AE50-4B81-9DCE-64E13525D414}" id="{F86E2018-AAE3-4855-8695-97752CBDE1DB}">
    <text>Reduced Deadhead for Performance Metrics</text>
  </threadedComment>
  <threadedComment ref="D24" dT="2026-02-26T17:36:05.67" personId="{219E334E-AE50-4B81-9DCE-64E13525D414}" id="{A9DA97EC-E222-495E-92A9-C573B014FEA9}">
    <text>Reduced Deadhead for Performance Metrics</text>
  </threadedComment>
  <threadedComment ref="E24" dT="2026-03-02T13:50:15.00" personId="{219E334E-AE50-4B81-9DCE-64E13525D414}" id="{AF6DB1EB-D3E2-4AEB-B936-20F3355D640B}">
    <text>Reduced Deadhead for Performance Metrics</text>
  </threadedComment>
  <threadedComment ref="C26" dT="2026-02-26T17:36:09.66" personId="{219E334E-AE50-4B81-9DCE-64E13525D414}" id="{B302D0CA-7ED9-41FD-A2C3-AE22F3E63757}">
    <text>Reduced Deadhead for Performance Metrics</text>
  </threadedComment>
  <threadedComment ref="D26" dT="2026-02-26T17:36:13.32" personId="{219E334E-AE50-4B81-9DCE-64E13525D414}" id="{F47D1E2B-9247-4222-8D1E-9A90EDCBABA8}">
    <text>Reduced Deadhead for Performance Metrics</text>
  </threadedComment>
  <threadedComment ref="E26" dT="2026-03-02T13:52:31.58" personId="{219E334E-AE50-4B81-9DCE-64E13525D414}" id="{DC2BBDF7-12D9-4C77-8BEB-B1D3C90072D9}">
    <text>Reduced Deadhead for Performance Metrics</text>
  </threadedComment>
  <threadedComment ref="B37" dT="2025-02-24T18:45:50.03" personId="{219E334E-AE50-4B81-9DCE-64E13525D414}" id="{A29E7398-62D7-4084-A34E-5EFF0BD2AEDF}">
    <text>Removed paratransit from Jaunts figures for FY21-FY24.</text>
  </threadedComment>
  <threadedComment ref="C37" dT="2025-02-24T18:45:53.28" personId="{219E334E-AE50-4B81-9DCE-64E13525D414}" id="{8ED0E184-8FC3-4BC1-BC7D-AEF9E27984B4}">
    <text>Removed paratransit from Jaunts figures for FY21-FY24.</text>
  </threadedComment>
  <threadedComment ref="D37" dT="2025-02-24T18:45:56.56" personId="{219E334E-AE50-4B81-9DCE-64E13525D414}" id="{A20D73F2-78E1-4FB2-B21F-3A8E446173D8}">
    <text>Removed paratransit from Jaunts figures for FY21-FY24.</text>
  </threadedComment>
  <threadedComment ref="C40" dT="2024-01-17T20:06:14.97" personId="{219E334E-AE50-4B81-9DCE-64E13525D414}" id="{3CAF34A1-21BD-4E2F-BE9E-0F1842381763}">
    <text>Combined VRT and NSVRC (ShenGo Demo) reported figures.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7" dT="2025-02-24T18:43:53.78" personId="{219E334E-AE50-4B81-9DCE-64E13525D414}" id="{4F7C5641-37F3-4B2D-A4D7-6872DDF89AC4}">
    <text>Added paratransit to CATs figures for FY21-FY24.</text>
  </threadedComment>
  <threadedComment ref="D7" dT="2025-02-24T18:43:58.32" personId="{219E334E-AE50-4B81-9DCE-64E13525D414}" id="{127DAAE4-0F6E-4B3F-9147-387314B2696A}">
    <text>Added paratransit to CATs figures for FY21-FY24.</text>
  </threadedComment>
  <threadedComment ref="E7" dT="2025-02-24T18:44:03.54" personId="{219E334E-AE50-4B81-9DCE-64E13525D414}" id="{F49D1564-2F24-4850-8B64-212DFDFBF4DF}">
    <text>Added paratransit to CATs figures for FY21-FY24.</text>
  </threadedComment>
  <threadedComment ref="E13" dT="2026-03-06T17:08:33.34" personId="{219E334E-AE50-4B81-9DCE-64E13525D414}" id="{00C0880E-52D3-478E-9A36-82EAE1010802}">
    <text>Adjusted 3/6/26 based on RY24 NTD reporting</text>
  </threadedComment>
  <threadedComment ref="C19" dT="2023-02-13T19:41:24.79" personId="{219E334E-AE50-4B81-9DCE-64E13525D414}" id="{61BD9924-3B6F-4E81-8384-1865B28B30CF}">
    <text>Added deadhead for uni-directional commuter routes &gt;20</text>
  </threadedComment>
  <threadedComment ref="C19" dT="2023-02-13T19:41:33.57" personId="{219E334E-AE50-4B81-9DCE-64E13525D414}" id="{40C6C4F3-9C97-4B01-A404-0CDCF9618904}" parentId="{61BD9924-3B6F-4E81-8384-1865B28B30CF}">
    <text>+10,112</text>
  </threadedComment>
  <threadedComment ref="D19" dT="2024-02-05T15:33:06.12" personId="{47763035-7F4B-492D-943D-0AC8478C60E9}" id="{07EF9F89-92F1-43E7-87B0-4239202D07FD}">
    <text>Added deadhead for uni-directional commuter routes &gt; 20 mi</text>
  </threadedComment>
  <threadedComment ref="D19" dT="2024-02-05T15:33:23.77" personId="{47763035-7F4B-492D-943D-0AC8478C60E9}" id="{DBD3D694-07BB-4647-93B0-28C3EA480D25}" parentId="{07EF9F89-92F1-43E7-87B0-4239202D07FD}">
    <text>+10,206</text>
  </threadedComment>
  <threadedComment ref="E19" dT="2025-02-12T15:31:34.40" personId="{47763035-7F4B-492D-943D-0AC8478C60E9}" id="{24BCA393-EE54-4FEB-B39C-7F0988358ECB}">
    <text>Added deadhead for uni-directional commuter routes &gt; 20 mi</text>
  </threadedComment>
  <threadedComment ref="E19" dT="2025-02-12T15:31:44.52" personId="{47763035-7F4B-492D-943D-0AC8478C60E9}" id="{8A1AFB39-0CEE-45AD-B197-07E531802067}" parentId="{24BCA393-EE54-4FEB-B39C-7F0988358ECB}">
    <text xml:space="preserve">+ 12,922.92 </text>
  </threadedComment>
  <threadedComment ref="F19" dT="2026-02-27T20:49:42.98" personId="{26135B57-CE44-4E06-A6A0-2C3758392D60}" id="{C0F3EB5D-0AFF-4951-8076-80DB4334D4EB}">
    <text>Added deadhead for uni-directional commuter routes &gt; 20 mi</text>
  </threadedComment>
  <threadedComment ref="F19" dT="2026-02-27T20:58:26.72" personId="{26135B57-CE44-4E06-A6A0-2C3758392D60}" id="{0420D78F-BE87-481B-B807-787800A4C031}" parentId="{C0F3EB5D-0AFF-4951-8076-80DB4334D4EB}">
    <text>+ 16,940</text>
  </threadedComment>
  <threadedComment ref="C23" dT="2023-02-09T19:57:33.06" personId="{219E334E-AE50-4B81-9DCE-64E13525D414}" id="{65FA7240-22F2-46C0-9DF3-F46B78770CE7}">
    <text>Added deadhead for uni-directional commuter routes &gt;20</text>
  </threadedComment>
  <threadedComment ref="C23" dT="2023-02-09T19:58:09.27" personId="{219E334E-AE50-4B81-9DCE-64E13525D414}" id="{5AA59213-AE39-4588-8107-AC02F986771B}" parentId="{65FA7240-22F2-46C0-9DF3-F46B78770CE7}">
    <text>+2521</text>
  </threadedComment>
  <threadedComment ref="C24" dT="2023-02-10T22:07:44.22" personId="{219E334E-AE50-4B81-9DCE-64E13525D414}" id="{7DF57E5A-0769-4227-A205-491891548E67}">
    <text>Added deadhead for uni-directional communter routes &gt;20mi</text>
  </threadedComment>
  <threadedComment ref="C24" dT="2023-02-10T22:08:47.36" personId="{219E334E-AE50-4B81-9DCE-64E13525D414}" id="{F64C63B9-2C81-4773-81BD-213CAA31A775}" parentId="{7DF57E5A-0769-4227-A205-491891548E67}">
    <text>+71,220</text>
  </threadedComment>
  <threadedComment ref="D24" dT="2024-02-05T15:34:55.40" personId="{47763035-7F4B-492D-943D-0AC8478C60E9}" id="{CEDA2E6D-0183-43A4-9C2C-5B6B60E943A5}">
    <text>Added deadhead for uni-directional commuter routes &gt; 20 mi</text>
  </threadedComment>
  <threadedComment ref="D24" dT="2024-02-05T15:35:04.79" personId="{47763035-7F4B-492D-943D-0AC8478C60E9}" id="{B34ACDB8-6414-40DB-BB75-FF46FC3A2B23}" parentId="{CEDA2E6D-0183-43A4-9C2C-5B6B60E943A5}">
    <text>+57,989</text>
  </threadedComment>
  <threadedComment ref="E24" dT="2025-02-06T19:06:58.50" personId="{47763035-7F4B-492D-943D-0AC8478C60E9}" id="{DDC1B100-69AC-4C5F-A0C6-610EC1DEF51E}">
    <text>Added deadhead for uni-directional commuter routes &gt; 20 mi</text>
  </threadedComment>
  <threadedComment ref="E24" dT="2025-02-06T19:07:11.69" personId="{47763035-7F4B-492D-943D-0AC8478C60E9}" id="{E9DB9411-461B-44F8-8187-A059A5CF782C}" parentId="{DDC1B100-69AC-4C5F-A0C6-610EC1DEF51E}">
    <text>+ 62,202</text>
  </threadedComment>
  <threadedComment ref="F24" dT="2026-02-27T20:49:02.89" personId="{26135B57-CE44-4E06-A6A0-2C3758392D60}" id="{7BEB2C03-1EA1-4470-AE69-5CC9AD1726E4}">
    <text>Added deadhead for uni-directional commuter routes &gt; 20 mi</text>
  </threadedComment>
  <threadedComment ref="F24" dT="2026-02-27T20:49:22.23" personId="{26135B57-CE44-4E06-A6A0-2C3758392D60}" id="{D6B8C576-529A-49C3-9B1C-FEE678C3D88C}" parentId="{7BEB2C03-1EA1-4470-AE69-5CC9AD1726E4}">
    <text>+ 66,989</text>
  </threadedComment>
  <threadedComment ref="D26" dT="2024-02-12T18:19:34.15" personId="{47763035-7F4B-492D-943D-0AC8478C60E9}" id="{0BCC0D82-A58C-4633-8E8B-5CC19B7B87B6}">
    <text>Added deadhead for uni-directional commuter routes &gt; 20 mi</text>
  </threadedComment>
  <threadedComment ref="D26" dT="2024-02-12T18:19:46.97" personId="{47763035-7F4B-492D-943D-0AC8478C60E9}" id="{BFFF4B0C-A58C-4080-BEA6-236E2095E275}" parentId="{0BCC0D82-A58C-4633-8E8B-5CC19B7B87B6}">
    <text>+1,652</text>
  </threadedComment>
  <threadedComment ref="E26" dT="2025-02-06T19:07:55.89" personId="{47763035-7F4B-492D-943D-0AC8478C60E9}" id="{14934EF4-265F-4F3B-8348-6BCCC679F004}">
    <text>Added deadhead for uni-directional commuter routes &gt; 20 mi</text>
  </threadedComment>
  <threadedComment ref="E26" dT="2025-02-06T19:08:02.15" personId="{47763035-7F4B-492D-943D-0AC8478C60E9}" id="{2E5B7305-55E2-4091-A6ED-5C821A6ADB15}" parentId="{14934EF4-265F-4F3B-8348-6BCCC679F004}">
    <text>+2,457</text>
  </threadedComment>
  <threadedComment ref="F26" dT="2026-02-27T20:49:50.28" personId="{26135B57-CE44-4E06-A6A0-2C3758392D60}" id="{8B942C66-5A84-48B1-94A5-8630DAFB9941}">
    <text>Added deadhead for uni-directional commuter routes &gt; 20 mi</text>
  </threadedComment>
  <threadedComment ref="F26" dT="2026-02-27T20:53:42.37" personId="{26135B57-CE44-4E06-A6A0-2C3758392D60}" id="{BDB097BF-D891-4FA5-A923-6FA12C252131}" parentId="{8B942C66-5A84-48B1-94A5-8630DAFB9941}">
    <text>+ 646</text>
  </threadedComment>
  <threadedComment ref="C37" dT="2025-02-24T18:45:50.03" personId="{219E334E-AE50-4B81-9DCE-64E13525D414}" id="{659A4C90-0371-4182-81F5-36BEB527D22B}">
    <text>Removed paratransit from Jaunts figures for FY21-FY24.</text>
  </threadedComment>
  <threadedComment ref="D37" dT="2025-02-24T18:45:53.28" personId="{219E334E-AE50-4B81-9DCE-64E13525D414}" id="{F44012D5-3BD4-4BAB-B3CF-D130548E41B3}">
    <text>Removed paratransit from Jaunts figures for FY21-FY24.</text>
  </threadedComment>
  <threadedComment ref="E37" dT="2025-02-24T18:45:56.56" personId="{219E334E-AE50-4B81-9DCE-64E13525D414}" id="{F099F260-0560-4A38-94E0-3B656BE49EED}">
    <text>Removed paratransit from Jaunts figures for FY21-FY24.</text>
  </threadedComment>
  <threadedComment ref="D40" dT="2024-01-17T20:06:14.97" personId="{219E334E-AE50-4B81-9DCE-64E13525D414}" id="{3E979E27-75C4-4570-B349-530C911DEDD8}">
    <text>Combined VRT and NSVRC (ShenGo Demo) reported figures.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7" dT="2025-02-24T18:43:26.67" personId="{219E334E-AE50-4B81-9DCE-64E13525D414}" id="{36B59CE7-6EA7-4A4C-8C65-41A774D6247C}">
    <text>Added paratransit to CATs figures for FY21-FY24.</text>
  </threadedComment>
  <threadedComment ref="D7" dT="2025-02-24T18:43:34.26" personId="{219E334E-AE50-4B81-9DCE-64E13525D414}" id="{01AA1706-6211-4EC1-9B53-DC0D5257D0C6}">
    <text>Added paratransit to CATs figures for FY21-FY24.</text>
  </threadedComment>
  <threadedComment ref="E7" dT="2025-02-24T18:43:40.53" personId="{219E334E-AE50-4B81-9DCE-64E13525D414}" id="{8679D202-1F25-4F9E-8AF8-4978D6D3946D}">
    <text>Added paratransit to CATs figures for FY21-FY24.</text>
  </threadedComment>
  <threadedComment ref="E13" dT="2026-03-06T17:02:41.70" personId="{219E334E-AE50-4B81-9DCE-64E13525D414}" id="{9542FD89-06A6-4365-B2E8-6B836991A2FA}">
    <text>Adjusted 3/3/26 based on RY24 NTD reporting</text>
  </threadedComment>
  <threadedComment ref="C19" dT="2026-02-26T17:37:47.19" personId="{219E334E-AE50-4B81-9DCE-64E13525D414}" id="{57F4361C-DB2E-4816-9FDC-CBD6A027A4C4}">
    <text>Reduced Deadhead for Performance Metrics</text>
  </threadedComment>
  <threadedComment ref="D19" dT="2026-02-26T17:37:50.70" personId="{219E334E-AE50-4B81-9DCE-64E13525D414}" id="{667CCC38-3D80-48E6-8EE7-1C07F871B1EF}">
    <text>Reduced Deadhead for Performance Metrics</text>
  </threadedComment>
  <threadedComment ref="E19" dT="2026-02-26T17:37:54.57" personId="{219E334E-AE50-4B81-9DCE-64E13525D414}" id="{A7A65532-6867-47BA-B61E-8E4F5CCA185A}">
    <text>Reduced Deadhead for Performance Metrics</text>
  </threadedComment>
  <threadedComment ref="F19" dT="2026-03-02T13:49:51.01" personId="{219E334E-AE50-4B81-9DCE-64E13525D414}" id="{FD0C58DD-1080-490F-A1F1-B9C42CAF4E8D}">
    <text>Reduced Deadhead for Performance Metrics</text>
  </threadedComment>
  <threadedComment ref="C23" dT="2026-02-26T17:37:44.24" personId="{219E334E-AE50-4B81-9DCE-64E13525D414}" id="{526095B3-9EB1-4E4D-85D2-161749A9C6FC}">
    <text>Reduced Deadhead for Performance Metrics</text>
  </threadedComment>
  <threadedComment ref="C24" dT="2026-02-26T17:37:29.84" personId="{219E334E-AE50-4B81-9DCE-64E13525D414}" id="{ED891C40-F5A4-44FC-93E0-2C2119571A58}">
    <text>Reduced Deadhead for Performance Metrics</text>
  </threadedComment>
  <threadedComment ref="D24" dT="2026-02-26T17:37:34.32" personId="{219E334E-AE50-4B81-9DCE-64E13525D414}" id="{BB9CBB00-D506-44AF-A6AB-68070A8AC55B}">
    <text>Reduced Deadhead for Performance Metrics</text>
  </threadedComment>
  <threadedComment ref="E24" dT="2026-02-26T17:37:37.56" personId="{219E334E-AE50-4B81-9DCE-64E13525D414}" id="{AAFF671F-045C-4509-B170-D7D26A1F8AC5}">
    <text>Reduced Deadhead for Performance Metrics</text>
  </threadedComment>
  <threadedComment ref="F24" dT="2026-03-02T13:49:54.32" personId="{219E334E-AE50-4B81-9DCE-64E13525D414}" id="{869D37C6-E99D-4C50-982E-D51ACDAD24E3}">
    <text>Reduced Deadhead for Performance Metrics</text>
  </threadedComment>
  <threadedComment ref="D26" dT="2026-02-26T17:37:25.50" personId="{219E334E-AE50-4B81-9DCE-64E13525D414}" id="{A97E43FD-C0C5-4FAC-82E7-03C42C6BCE9C}">
    <text>Reduced Deadhead for Performance Metrics</text>
  </threadedComment>
  <threadedComment ref="E26" dT="2026-02-26T17:37:40.73" personId="{219E334E-AE50-4B81-9DCE-64E13525D414}" id="{D536238D-4FB7-4FD8-984A-ACF5B0ABDDEB}">
    <text>Reduced Deadhead for Performance Metrics</text>
  </threadedComment>
  <threadedComment ref="F26" dT="2026-03-02T13:49:57.72" personId="{219E334E-AE50-4B81-9DCE-64E13525D414}" id="{04C4D234-BEF8-4A51-ABC5-8154AA61AD4F}">
    <text>Reduced Deadhead for Performance Metrics</text>
  </threadedComment>
  <threadedComment ref="C37" dT="2025-02-24T18:46:05.78" personId="{219E334E-AE50-4B81-9DCE-64E13525D414}" id="{0A1D32ED-53D1-4D40-A597-88BBADB55E12}">
    <text>Removed paratransit from Jaunts figures for FY21-FY24.</text>
  </threadedComment>
  <threadedComment ref="D37" dT="2025-02-24T18:46:09.50" personId="{219E334E-AE50-4B81-9DCE-64E13525D414}" id="{B567F46C-6771-4AF7-9B67-0512FA3222E7}">
    <text>Removed paratransit from Jaunts figures for FY21-FY24.</text>
  </threadedComment>
  <threadedComment ref="E37" dT="2025-02-24T18:46:13.07" personId="{219E334E-AE50-4B81-9DCE-64E13525D414}" id="{15FF8BDB-F2EB-4480-9DEF-6C55D4CB3C02}">
    <text>Removed paratransit from Jaunts figures for FY21-FY24.</text>
  </threadedComment>
  <threadedComment ref="D40" dT="2024-01-17T20:06:07.84" personId="{219E334E-AE50-4B81-9DCE-64E13525D414}" id="{588EDEA2-7C53-4AC9-AB58-E3D29CF986AA}">
    <text>Combined VRT and NSVRC (ShenGo Demo) reported figures.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7" dT="2025-02-24T18:43:26.67" personId="{219E334E-AE50-4B81-9DCE-64E13525D414}" id="{AA156444-9B68-4DF9-AE0B-359B68D9A516}">
    <text>Added paratransit to CATs figures for FY21-FY24.</text>
  </threadedComment>
  <threadedComment ref="D7" dT="2025-02-24T18:43:34.26" personId="{219E334E-AE50-4B81-9DCE-64E13525D414}" id="{BC9C50B9-9D70-450D-8F3F-CD2E7D5DB5DF}">
    <text>Added paratransit to CATs figures for FY21-FY24.</text>
  </threadedComment>
  <threadedComment ref="E7" dT="2025-02-24T18:43:40.53" personId="{219E334E-AE50-4B81-9DCE-64E13525D414}" id="{85E228B9-BAEA-4B57-B485-059E54B1C691}">
    <text>Added paratransit to CATs figures for FY21-FY24.</text>
  </threadedComment>
  <threadedComment ref="E13" dT="2026-03-06T17:02:41.70" personId="{219E334E-AE50-4B81-9DCE-64E13525D414}" id="{8206DE07-C1CE-48A0-B220-4C3A0A4AD249}">
    <text>Adjusted 3/3/26 based on RY24 NTD reporting</text>
  </threadedComment>
  <threadedComment ref="C19" dT="2023-02-13T19:40:23.85" personId="{219E334E-AE50-4B81-9DCE-64E13525D414}" id="{4CFB3F2D-451A-455F-8F99-F95DB2E03592}">
    <text>Added deadhead for uni-directional commuter routes &gt;20</text>
  </threadedComment>
  <threadedComment ref="C19" dT="2023-02-13T19:40:57.02" personId="{219E334E-AE50-4B81-9DCE-64E13525D414}" id="{E7EB28EB-2C35-4D68-A24E-C697ECFEE2B7}" parentId="{4CFB3F2D-451A-455F-8F99-F95DB2E03592}">
    <text>+427962.5</text>
  </threadedComment>
  <threadedComment ref="D19" dT="2024-02-05T15:36:08.54" personId="{47763035-7F4B-492D-943D-0AC8478C60E9}" id="{D863D709-1B89-4A56-B715-39539AD901BC}">
    <text>Added deadhead for uni-directional commuter routes &gt; 20 mi</text>
  </threadedComment>
  <threadedComment ref="D19" dT="2024-02-05T15:36:32.01" personId="{47763035-7F4B-492D-943D-0AC8478C60E9}" id="{161CDC89-5D99-4DBA-9B9B-C5DCD8395F6A}" parentId="{D863D709-1B89-4A56-B715-39539AD901BC}">
    <text>+ 501,367</text>
  </threadedComment>
  <threadedComment ref="E19" dT="2025-02-12T15:30:27.90" personId="{47763035-7F4B-492D-943D-0AC8478C60E9}" id="{925C265C-A6CA-4A8D-ACBC-FD68FBDDE54B}">
    <text>Added deadhead for uni-directional commuter routes &gt; 20 mi</text>
  </threadedComment>
  <threadedComment ref="E19" dT="2025-02-12T15:30:39.72" personId="{47763035-7F4B-492D-943D-0AC8478C60E9}" id="{DEF02DFA-ADB3-420A-93A7-89E7F20F2E89}" parentId="{925C265C-A6CA-4A8D-ACBC-FD68FBDDE54B}">
    <text xml:space="preserve">+ 587,607 </text>
  </threadedComment>
  <threadedComment ref="F19" dT="2026-02-27T20:57:24.58" personId="{26135B57-CE44-4E06-A6A0-2C3758392D60}" id="{A8D1CA64-7D68-4DFD-B2A5-F366F4BB268C}">
    <text>Added deadhead for uni-directional commuter routes &gt; 20 mi</text>
  </threadedComment>
  <threadedComment ref="F19" dT="2026-02-27T20:57:39.11" personId="{26135B57-CE44-4E06-A6A0-2C3758392D60}" id="{68857170-5B5B-4E5D-8175-096DFABE0ADD}" parentId="{A8D1CA64-7D68-4DFD-B2A5-F366F4BB268C}">
    <text>+ 544,235</text>
  </threadedComment>
  <threadedComment ref="C23" dT="2023-02-09T19:57:18.06" personId="{219E334E-AE50-4B81-9DCE-64E13525D414}" id="{1813ED45-1CEA-4FCC-AFF3-052C0119B887}">
    <text>Added deadhead for uni-directional commuter routes &gt;20</text>
  </threadedComment>
  <threadedComment ref="C23" dT="2023-02-09T19:58:47.69" personId="{219E334E-AE50-4B81-9DCE-64E13525D414}" id="{09683B2C-92B0-4DEB-9D26-AB17AD0F504B}" parentId="{1813ED45-1CEA-4FCC-AFF3-052C0119B887}">
    <text>+85,445</text>
  </threadedComment>
  <threadedComment ref="C24" dT="2023-02-09T20:00:32.50" personId="{219E334E-AE50-4B81-9DCE-64E13525D414}" id="{9FFF7210-EA95-4B01-BDC2-DB6DB9E6DC27}">
    <text>Added deadhead for uni-directional communter routes &gt;20mi</text>
  </threadedComment>
  <threadedComment ref="C24" dT="2023-02-09T20:00:39.23" personId="{219E334E-AE50-4B81-9DCE-64E13525D414}" id="{90710258-E1CC-4979-AF1A-C93B854B3650}" parentId="{9FFF7210-EA95-4B01-BDC2-DB6DB9E6DC27}">
    <text>+1,905,553</text>
  </threadedComment>
  <threadedComment ref="D24" dT="2024-02-05T15:36:12.74" personId="{47763035-7F4B-492D-943D-0AC8478C60E9}" id="{38C7C36D-1BE6-4BF0-A954-67599771BF83}">
    <text>Added deadhead for uni-directional commuter routes &gt; 20 mi</text>
  </threadedComment>
  <threadedComment ref="D24" dT="2024-02-05T15:37:05.02" personId="{47763035-7F4B-492D-943D-0AC8478C60E9}" id="{190579E3-866D-4465-8D28-61DA3F189C08}" parentId="{38C7C36D-1BE6-4BF0-A954-67599771BF83}">
    <text>+1,784,701</text>
  </threadedComment>
  <threadedComment ref="E24" dT="2025-02-06T19:09:09.87" personId="{47763035-7F4B-492D-943D-0AC8478C60E9}" id="{7725B155-FFB7-40C8-B4C9-FD188E3DF762}">
    <text>Added deadhead for uni-directional commuter routes &gt; 20 mi</text>
  </threadedComment>
  <threadedComment ref="E24" dT="2025-02-06T19:09:30.69" personId="{47763035-7F4B-492D-943D-0AC8478C60E9}" id="{D150A299-C151-40E9-A82C-48FFD78F0356}" parentId="{7725B155-FFB7-40C8-B4C9-FD188E3DF762}">
    <text>+ 1,922,948</text>
  </threadedComment>
  <threadedComment ref="F24" dT="2026-02-27T20:50:44.22" personId="{26135B57-CE44-4E06-A6A0-2C3758392D60}" id="{23333B26-4EF1-4475-BA88-4F873232CA6F}">
    <text>Added deadhead for uni-directional commuter routes &gt; 20 mi</text>
  </threadedComment>
  <threadedComment ref="F24" dT="2026-03-02T13:48:13.42" personId="{219E334E-AE50-4B81-9DCE-64E13525D414}" id="{95111EE2-2BF2-484B-AD0D-A4A045EDE642}" parentId="{23333B26-4EF1-4475-BA88-4F873232CA6F}">
    <text>+2,078,432</text>
  </threadedComment>
  <threadedComment ref="D26" dT="2024-02-09T21:25:51.08" personId="{47763035-7F4B-492D-943D-0AC8478C60E9}" id="{AF663CEF-F051-4A7E-94F9-75328E24E595}">
    <text>Added deadhead for uni-directional commuter routes &gt; 20 mi</text>
  </threadedComment>
  <threadedComment ref="D26" dT="2024-02-09T21:26:05.31" personId="{47763035-7F4B-492D-943D-0AC8478C60E9}" id="{693749A9-79AF-4368-9B24-C3E36E6E8323}" parentId="{AF663CEF-F051-4A7E-94F9-75328E24E595}">
    <text xml:space="preserve">+34,410 </text>
  </threadedComment>
  <threadedComment ref="E26" dT="2025-02-06T19:09:17.87" personId="{47763035-7F4B-492D-943D-0AC8478C60E9}" id="{2FEA4CF8-A9FD-492C-B8E2-84C9FD882180}">
    <text>Added deadhead for uni-directional commuter routes &gt; 20 mi</text>
  </threadedComment>
  <threadedComment ref="E26" dT="2025-02-06T19:10:06.59" personId="{47763035-7F4B-492D-943D-0AC8478C60E9}" id="{C7C82AF7-323D-46B3-AF3B-19397ACEC9C5}" parentId="{2FEA4CF8-A9FD-492C-B8E2-84C9FD882180}">
    <text>+60,554</text>
  </threadedComment>
  <threadedComment ref="F26" dT="2026-02-27T20:54:36.46" personId="{26135B57-CE44-4E06-A6A0-2C3758392D60}" id="{98A0A1CE-21BE-4FBE-82AA-BCCCF29BE99A}">
    <text xml:space="preserve">Added deadhead for uni-directional commuter routes &gt; 20 mi
</text>
  </threadedComment>
  <threadedComment ref="F26" dT="2026-02-27T20:54:51.46" personId="{26135B57-CE44-4E06-A6A0-2C3758392D60}" id="{9800349B-9C5D-4F18-8D5A-FCFD29D29132}" parentId="{98A0A1CE-21BE-4FBE-82AA-BCCCF29BE99A}">
    <text>+ 11,322</text>
  </threadedComment>
  <threadedComment ref="C37" dT="2025-02-24T18:46:05.78" personId="{219E334E-AE50-4B81-9DCE-64E13525D414}" id="{E7E67C51-8ED5-4C3B-A82C-CA59648B5914}">
    <text>Removed paratransit from Jaunts figures for FY21-FY24.</text>
  </threadedComment>
  <threadedComment ref="D37" dT="2025-02-24T18:46:09.50" personId="{219E334E-AE50-4B81-9DCE-64E13525D414}" id="{B71C3FD2-805D-44DF-BDB9-1DF8B83F3BC3}">
    <text>Removed paratransit from Jaunts figures for FY21-FY24.</text>
  </threadedComment>
  <threadedComment ref="E37" dT="2025-02-24T18:46:13.07" personId="{219E334E-AE50-4B81-9DCE-64E13525D414}" id="{9264214D-2FDB-43DE-92BD-94675889E783}">
    <text>Removed paratransit from Jaunts figures for FY21-FY24.</text>
  </threadedComment>
  <threadedComment ref="D40" dT="2024-01-17T20:06:07.84" personId="{219E334E-AE50-4B81-9DCE-64E13525D414}" id="{D35B512E-5B89-464C-B1B2-A2BC4C2EFD7B}">
    <text>Combined VRT and NSVRC (ShenGo Demo) reported figures.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C7" dT="2025-03-06T21:36:48.54" personId="{57DCBE11-4CAB-4DDA-AF5D-25BAA0F5CE29}" id="{1D5860C3-C898-4661-AD6C-AE71019F34DD}">
    <text>Revised 3/6/2025.  Includes Jaunt Urban.</text>
  </threadedComment>
  <threadedComment ref="D7" dT="2025-03-06T21:37:06.79" personId="{57DCBE11-4CAB-4DDA-AF5D-25BAA0F5CE29}" id="{05D90CC7-A741-4918-A355-094F68730A63}">
    <text>Revised 3/6/2025. Includes Jaunt Urban.</text>
  </threadedComment>
  <threadedComment ref="C37" dT="2025-03-06T21:38:03.89" personId="{57DCBE11-4CAB-4DDA-AF5D-25BAA0F5CE29}" id="{DBD12ACC-4628-4E06-A5D0-AA70AB547931}">
    <text>Revised 3/6/2025.  Removes JAUNT Urban.</text>
  </threadedComment>
  <threadedComment ref="D37" dT="2025-03-06T21:38:23.23" personId="{57DCBE11-4CAB-4DDA-AF5D-25BAA0F5CE29}" id="{20AEF51C-3D49-460D-9317-E9621B22F3A8}">
    <text>Revised 3/6/2025.  Removes JAUNT Urban.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BQ11" dT="2025-01-22T14:44:16.27" personId="{219E334E-AE50-4B81-9DCE-64E13525D414}" id="{9D6F9B68-4DD1-4951-9BBB-D6620207DF7D}">
    <text>If agencies are above 30%, a second round of re-allocation is needed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BQ11" dT="2025-01-22T14:44:16.27" personId="{219E334E-AE50-4B81-9DCE-64E13525D414}" id="{FDD6B572-C718-445D-8FF5-805E7CC71D7F}">
    <text>If agencies are above 30%, a second round of re-allocation is needed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1728-F9A8-4C7C-A52E-43BB5889DAE2}">
  <sheetPr>
    <tabColor rgb="FF7030A0"/>
    <pageSetUpPr fitToPage="1"/>
  </sheetPr>
  <dimension ref="A1:I73"/>
  <sheetViews>
    <sheetView tabSelected="1" zoomScaleNormal="100" workbookViewId="0">
      <selection activeCell="E35" sqref="E35"/>
    </sheetView>
  </sheetViews>
  <sheetFormatPr defaultRowHeight="12.75"/>
  <cols>
    <col min="2" max="2" width="45" customWidth="1"/>
    <col min="3" max="5" width="20.85546875" customWidth="1"/>
    <col min="6" max="6" width="12.140625" customWidth="1"/>
  </cols>
  <sheetData>
    <row r="1" spans="1:9">
      <c r="A1" s="286" t="s">
        <v>0</v>
      </c>
    </row>
    <row r="2" spans="1:9" ht="15.75">
      <c r="A2" s="285" t="s">
        <v>1</v>
      </c>
    </row>
    <row r="3" spans="1:9">
      <c r="A3" s="287" t="s">
        <v>2</v>
      </c>
    </row>
    <row r="4" spans="1:9" ht="15.75">
      <c r="A4" s="285"/>
      <c r="D4" s="967">
        <v>0.05</v>
      </c>
      <c r="E4" s="965" t="s">
        <v>3</v>
      </c>
      <c r="F4" s="965" t="s">
        <v>4</v>
      </c>
    </row>
    <row r="5" spans="1:9" ht="13.5" customHeight="1">
      <c r="A5" s="285"/>
      <c r="B5" s="891" t="s">
        <v>5</v>
      </c>
      <c r="C5" s="964">
        <v>138800188</v>
      </c>
      <c r="D5" s="968">
        <f>C5*D4</f>
        <v>6940009.4000000004</v>
      </c>
      <c r="E5" s="966">
        <f>LargeUrban!P25+SmallUrban!P22+Rural!P33</f>
        <v>155444.08336740494</v>
      </c>
      <c r="F5" s="966">
        <f>D5+E5</f>
        <v>7095453.4833674049</v>
      </c>
    </row>
    <row r="6" spans="1:9" ht="13.5" customHeight="1">
      <c r="A6" s="285"/>
      <c r="B6" s="237"/>
    </row>
    <row r="7" spans="1:9" ht="13.5" customHeight="1">
      <c r="A7" s="286" t="s">
        <v>6</v>
      </c>
    </row>
    <row r="8" spans="1:9" ht="13.5" customHeight="1">
      <c r="A8" s="237"/>
      <c r="B8" s="286"/>
      <c r="C8" s="286" t="s">
        <v>7</v>
      </c>
      <c r="D8" s="286" t="s">
        <v>8</v>
      </c>
      <c r="E8" s="286" t="s">
        <v>9</v>
      </c>
    </row>
    <row r="9" spans="1:9" ht="13.5" customHeight="1">
      <c r="B9" s="289" t="s">
        <v>10</v>
      </c>
      <c r="C9" s="290">
        <v>0.81</v>
      </c>
      <c r="D9" s="290">
        <v>0.12</v>
      </c>
      <c r="E9" s="290">
        <v>7.0000000000000007E-2</v>
      </c>
    </row>
    <row r="10" spans="1:9" ht="13.5" customHeight="1">
      <c r="B10" s="289" t="s">
        <v>11</v>
      </c>
      <c r="C10" s="291">
        <f>$F5*C9</f>
        <v>5747317.3215275984</v>
      </c>
      <c r="D10" s="291">
        <f t="shared" ref="D10:E10" si="0">$F5*D9</f>
        <v>851454.41800408857</v>
      </c>
      <c r="E10" s="291">
        <f t="shared" si="0"/>
        <v>496681.74383571837</v>
      </c>
    </row>
    <row r="11" spans="1:9" ht="13.5" customHeight="1">
      <c r="B11" s="292" t="s">
        <v>12</v>
      </c>
      <c r="C11" s="293">
        <f>($C5-$D5)*C9</f>
        <v>106806744.66600001</v>
      </c>
      <c r="D11" s="293">
        <f>($C5-$D5)*D9</f>
        <v>15823221.431999998</v>
      </c>
      <c r="E11" s="293">
        <f>($C5-$D5)*E9</f>
        <v>9230212.5020000003</v>
      </c>
      <c r="G11" s="969"/>
      <c r="H11" s="969"/>
      <c r="I11" s="969"/>
    </row>
    <row r="12" spans="1:9" ht="13.5" customHeight="1"/>
    <row r="13" spans="1:9" ht="13.5" hidden="1" customHeight="1">
      <c r="D13" s="967">
        <v>0.05</v>
      </c>
      <c r="E13" s="965" t="s">
        <v>3</v>
      </c>
      <c r="F13" s="965" t="s">
        <v>4</v>
      </c>
    </row>
    <row r="14" spans="1:9" ht="13.5" hidden="1" customHeight="1">
      <c r="A14" s="285"/>
      <c r="B14" s="891" t="s">
        <v>13</v>
      </c>
      <c r="C14" s="288">
        <v>127252317.80000004</v>
      </c>
      <c r="D14" s="968">
        <f>C14*D13</f>
        <v>6362615.8900000025</v>
      </c>
      <c r="E14" s="966">
        <f>LargeUrban!P46+SmallUrban!P39+Rural!P61</f>
        <v>158846.86041013504</v>
      </c>
      <c r="F14" s="966">
        <f>D14+E14</f>
        <v>6521462.7504101377</v>
      </c>
    </row>
    <row r="15" spans="1:9" ht="13.5" hidden="1" customHeight="1">
      <c r="A15" s="285"/>
      <c r="B15" s="237"/>
    </row>
    <row r="16" spans="1:9" ht="13.5" hidden="1" customHeight="1">
      <c r="A16" s="286" t="s">
        <v>14</v>
      </c>
    </row>
    <row r="17" spans="1:6" ht="13.5" hidden="1" customHeight="1">
      <c r="A17" s="237"/>
      <c r="B17" s="286"/>
      <c r="C17" s="286" t="s">
        <v>7</v>
      </c>
      <c r="D17" s="286" t="s">
        <v>8</v>
      </c>
      <c r="E17" s="286" t="s">
        <v>9</v>
      </c>
    </row>
    <row r="18" spans="1:6" ht="13.5" hidden="1" customHeight="1">
      <c r="B18" s="289" t="s">
        <v>10</v>
      </c>
      <c r="C18" s="290">
        <v>0.81</v>
      </c>
      <c r="D18" s="290">
        <v>0.12</v>
      </c>
      <c r="E18" s="290">
        <v>7.0000000000000007E-2</v>
      </c>
    </row>
    <row r="19" spans="1:6" ht="13.5" hidden="1" customHeight="1">
      <c r="B19" s="289" t="s">
        <v>15</v>
      </c>
      <c r="C19" s="291">
        <f>$F14*C18</f>
        <v>5282384.8278322117</v>
      </c>
      <c r="D19" s="291">
        <f t="shared" ref="D19:E19" si="1">$F14*D18</f>
        <v>782575.53004921647</v>
      </c>
      <c r="E19" s="291">
        <f t="shared" si="1"/>
        <v>456502.39252870966</v>
      </c>
    </row>
    <row r="20" spans="1:6" ht="13.5" hidden="1" customHeight="1">
      <c r="B20" s="292" t="s">
        <v>16</v>
      </c>
      <c r="C20" s="293">
        <f>($C14-$D14)*C18</f>
        <v>97920658.547100037</v>
      </c>
      <c r="D20" s="293">
        <f>($C14-$D14)*D18</f>
        <v>14506764.229200004</v>
      </c>
      <c r="E20" s="293">
        <f>($C14-$D14)*E18</f>
        <v>8462279.1337000038</v>
      </c>
    </row>
    <row r="21" spans="1:6" ht="13.5" hidden="1" customHeight="1"/>
    <row r="22" spans="1:6" ht="13.5" hidden="1" customHeight="1">
      <c r="D22" s="967">
        <v>0.05</v>
      </c>
      <c r="E22" s="965" t="s">
        <v>3</v>
      </c>
      <c r="F22" s="965" t="s">
        <v>4</v>
      </c>
    </row>
    <row r="23" spans="1:6" ht="13.5" hidden="1" customHeight="1">
      <c r="A23" s="285"/>
      <c r="B23" s="891" t="s">
        <v>17</v>
      </c>
      <c r="C23" s="288">
        <v>128674210</v>
      </c>
      <c r="D23" s="968">
        <f>C23*D22</f>
        <v>6433710.5</v>
      </c>
      <c r="E23" s="966">
        <f>LargeUrban!P64+SmallUrban!P56+Rural!P89</f>
        <v>299023.78811218747</v>
      </c>
      <c r="F23" s="966">
        <f>D23+E23</f>
        <v>6732734.2881121878</v>
      </c>
    </row>
    <row r="24" spans="1:6" ht="13.5" hidden="1" customHeight="1">
      <c r="A24" s="285"/>
      <c r="B24" s="237"/>
    </row>
    <row r="25" spans="1:6" ht="13.5" hidden="1" customHeight="1">
      <c r="A25" s="286" t="s">
        <v>18</v>
      </c>
    </row>
    <row r="26" spans="1:6" ht="13.5" hidden="1" customHeight="1">
      <c r="A26" s="237"/>
      <c r="B26" s="286"/>
      <c r="C26" s="286" t="s">
        <v>7</v>
      </c>
      <c r="D26" s="286" t="s">
        <v>8</v>
      </c>
      <c r="E26" s="286" t="s">
        <v>9</v>
      </c>
    </row>
    <row r="27" spans="1:6" ht="13.5" hidden="1" customHeight="1">
      <c r="B27" s="289" t="s">
        <v>10</v>
      </c>
      <c r="C27" s="290">
        <v>0.81</v>
      </c>
      <c r="D27" s="290">
        <v>0.12</v>
      </c>
      <c r="E27" s="290">
        <v>7.0000000000000007E-2</v>
      </c>
    </row>
    <row r="28" spans="1:6" ht="13.5" hidden="1" customHeight="1">
      <c r="B28" s="289" t="s">
        <v>15</v>
      </c>
      <c r="C28" s="291">
        <f>$F23*C27</f>
        <v>5453514.7733708723</v>
      </c>
      <c r="D28" s="291">
        <f t="shared" ref="D28:E28" si="2">$F23*D27</f>
        <v>807928.11457346252</v>
      </c>
      <c r="E28" s="291">
        <f t="shared" si="2"/>
        <v>471291.40016785316</v>
      </c>
    </row>
    <row r="29" spans="1:6" ht="13.5" hidden="1" customHeight="1">
      <c r="B29" s="292" t="s">
        <v>19</v>
      </c>
      <c r="C29" s="293">
        <f>($C23-$D23)*C27</f>
        <v>99014804.595000014</v>
      </c>
      <c r="D29" s="293">
        <f t="shared" ref="D29:E29" si="3">($C23-$D23)*D27</f>
        <v>14668859.939999999</v>
      </c>
      <c r="E29" s="293">
        <f t="shared" si="3"/>
        <v>8556834.9650000017</v>
      </c>
    </row>
    <row r="30" spans="1:6" ht="13.5" customHeight="1"/>
    <row r="31" spans="1:6" ht="13.5" customHeight="1"/>
    <row r="32" spans="1:6" ht="13.5" customHeight="1">
      <c r="A32" s="286" t="s">
        <v>20</v>
      </c>
    </row>
    <row r="33" spans="2:3" ht="13.5" customHeight="1"/>
    <row r="34" spans="2:3" ht="13.5" customHeight="1">
      <c r="B34" s="294" t="s">
        <v>21</v>
      </c>
      <c r="C34" s="294" t="s">
        <v>22</v>
      </c>
    </row>
    <row r="35" spans="2:3" ht="13.5" customHeight="1">
      <c r="B35" s="295" t="s">
        <v>23</v>
      </c>
      <c r="C35" s="296" t="s">
        <v>9</v>
      </c>
    </row>
    <row r="36" spans="2:3" ht="13.5" customHeight="1">
      <c r="B36" s="297" t="s">
        <v>24</v>
      </c>
      <c r="C36" s="298" t="s">
        <v>9</v>
      </c>
    </row>
    <row r="37" spans="2:3" ht="13.5" customHeight="1">
      <c r="B37" s="295" t="s">
        <v>25</v>
      </c>
      <c r="C37" s="296" t="s">
        <v>8</v>
      </c>
    </row>
    <row r="38" spans="2:3" ht="13.5" customHeight="1">
      <c r="B38" s="297" t="s">
        <v>26</v>
      </c>
      <c r="C38" s="298" t="s">
        <v>8</v>
      </c>
    </row>
    <row r="39" spans="2:3" ht="13.5" customHeight="1">
      <c r="B39" s="295" t="s">
        <v>27</v>
      </c>
      <c r="C39" s="296" t="s">
        <v>8</v>
      </c>
    </row>
    <row r="40" spans="2:3" ht="13.5" customHeight="1">
      <c r="B40" s="297" t="s">
        <v>28</v>
      </c>
      <c r="C40" s="298" t="s">
        <v>8</v>
      </c>
    </row>
    <row r="41" spans="2:3" ht="13.5" customHeight="1">
      <c r="B41" s="295" t="s">
        <v>29</v>
      </c>
      <c r="C41" s="296" t="s">
        <v>7</v>
      </c>
    </row>
    <row r="42" spans="2:3" ht="13.5" customHeight="1">
      <c r="B42" s="297" t="s">
        <v>30</v>
      </c>
      <c r="C42" s="298" t="s">
        <v>9</v>
      </c>
    </row>
    <row r="43" spans="2:3" ht="13.5" customHeight="1">
      <c r="B43" s="295" t="s">
        <v>31</v>
      </c>
      <c r="C43" s="296" t="s">
        <v>9</v>
      </c>
    </row>
    <row r="44" spans="2:3" ht="13.5" customHeight="1">
      <c r="B44" s="297" t="s">
        <v>32</v>
      </c>
      <c r="C44" s="298" t="s">
        <v>8</v>
      </c>
    </row>
    <row r="45" spans="2:3" ht="13.5" customHeight="1">
      <c r="B45" s="295" t="s">
        <v>33</v>
      </c>
      <c r="C45" s="296" t="s">
        <v>7</v>
      </c>
    </row>
    <row r="46" spans="2:3" ht="13.5" customHeight="1">
      <c r="B46" s="297" t="s">
        <v>34</v>
      </c>
      <c r="C46" s="298" t="s">
        <v>9</v>
      </c>
    </row>
    <row r="47" spans="2:3" ht="13.5" customHeight="1">
      <c r="B47" s="295" t="s">
        <v>35</v>
      </c>
      <c r="C47" s="296" t="s">
        <v>9</v>
      </c>
    </row>
    <row r="48" spans="2:3" ht="13.5" customHeight="1">
      <c r="B48" s="297" t="s">
        <v>36</v>
      </c>
      <c r="C48" s="298" t="s">
        <v>9</v>
      </c>
    </row>
    <row r="49" spans="2:3" ht="13.5" customHeight="1">
      <c r="B49" s="295" t="s">
        <v>37</v>
      </c>
      <c r="C49" s="296" t="s">
        <v>8</v>
      </c>
    </row>
    <row r="50" spans="2:3" ht="13.5" customHeight="1">
      <c r="B50" s="297" t="s">
        <v>38</v>
      </c>
      <c r="C50" s="298" t="s">
        <v>8</v>
      </c>
    </row>
    <row r="51" spans="2:3" ht="13.5" customHeight="1">
      <c r="B51" s="295" t="s">
        <v>39</v>
      </c>
      <c r="C51" s="296" t="s">
        <v>7</v>
      </c>
    </row>
    <row r="52" spans="2:3" ht="13.5" customHeight="1">
      <c r="B52" s="297" t="s">
        <v>40</v>
      </c>
      <c r="C52" s="298" t="s">
        <v>7</v>
      </c>
    </row>
    <row r="53" spans="2:3" ht="13.5" customHeight="1">
      <c r="B53" s="295" t="s">
        <v>41</v>
      </c>
      <c r="C53" s="296" t="s">
        <v>9</v>
      </c>
    </row>
    <row r="54" spans="2:3" ht="13.5" customHeight="1">
      <c r="B54" s="297" t="s">
        <v>42</v>
      </c>
      <c r="C54" s="298" t="s">
        <v>7</v>
      </c>
    </row>
    <row r="55" spans="2:3" ht="13.5" customHeight="1">
      <c r="B55" s="295" t="s">
        <v>43</v>
      </c>
      <c r="C55" s="296" t="s">
        <v>9</v>
      </c>
    </row>
    <row r="56" spans="2:3" ht="13.5" customHeight="1">
      <c r="B56" s="297" t="s">
        <v>44</v>
      </c>
      <c r="C56" s="298" t="s">
        <v>9</v>
      </c>
    </row>
    <row r="57" spans="2:3" ht="13.5" customHeight="1">
      <c r="B57" s="295" t="s">
        <v>45</v>
      </c>
      <c r="C57" s="296" t="s">
        <v>9</v>
      </c>
    </row>
    <row r="58" spans="2:3" ht="13.5" customHeight="1">
      <c r="B58" s="297" t="s">
        <v>46</v>
      </c>
      <c r="C58" s="298" t="s">
        <v>7</v>
      </c>
    </row>
    <row r="59" spans="2:3" ht="13.5" customHeight="1">
      <c r="B59" s="295" t="s">
        <v>47</v>
      </c>
      <c r="C59" s="296" t="s">
        <v>7</v>
      </c>
    </row>
    <row r="60" spans="2:3" ht="13.5" customHeight="1">
      <c r="B60" s="297" t="s">
        <v>48</v>
      </c>
      <c r="C60" s="298" t="s">
        <v>7</v>
      </c>
    </row>
    <row r="61" spans="2:3" ht="13.5" customHeight="1">
      <c r="B61" s="295" t="s">
        <v>49</v>
      </c>
      <c r="C61" s="296" t="s">
        <v>7</v>
      </c>
    </row>
    <row r="62" spans="2:3" ht="13.5" customHeight="1">
      <c r="B62" s="297" t="s">
        <v>50</v>
      </c>
      <c r="C62" s="298" t="s">
        <v>7</v>
      </c>
    </row>
    <row r="63" spans="2:3" ht="14.25">
      <c r="B63" s="295" t="s">
        <v>51</v>
      </c>
      <c r="C63" s="296" t="s">
        <v>9</v>
      </c>
    </row>
    <row r="64" spans="2:3" ht="14.25">
      <c r="B64" s="297" t="s">
        <v>52</v>
      </c>
      <c r="C64" s="298" t="s">
        <v>9</v>
      </c>
    </row>
    <row r="65" spans="2:3" ht="14.25">
      <c r="B65" s="295" t="s">
        <v>53</v>
      </c>
      <c r="C65" s="296" t="s">
        <v>9</v>
      </c>
    </row>
    <row r="66" spans="2:3" ht="14.25">
      <c r="B66" s="297" t="s">
        <v>54</v>
      </c>
      <c r="C66" s="298" t="s">
        <v>9</v>
      </c>
    </row>
    <row r="67" spans="2:3" ht="14.25">
      <c r="B67" s="295" t="s">
        <v>55</v>
      </c>
      <c r="C67" s="296" t="s">
        <v>9</v>
      </c>
    </row>
    <row r="68" spans="2:3" ht="14.25">
      <c r="B68" s="297" t="s">
        <v>56</v>
      </c>
      <c r="C68" s="298" t="s">
        <v>8</v>
      </c>
    </row>
    <row r="69" spans="2:3" ht="14.25">
      <c r="B69" s="295" t="s">
        <v>57</v>
      </c>
      <c r="C69" s="296" t="s">
        <v>9</v>
      </c>
    </row>
    <row r="70" spans="2:3" ht="14.25">
      <c r="B70" s="297" t="s">
        <v>58</v>
      </c>
      <c r="C70" s="298" t="s">
        <v>9</v>
      </c>
    </row>
    <row r="71" spans="2:3" ht="14.25">
      <c r="B71" s="295" t="s">
        <v>59</v>
      </c>
      <c r="C71" s="296" t="s">
        <v>9</v>
      </c>
    </row>
    <row r="72" spans="2:3" ht="14.25">
      <c r="B72" s="297" t="s">
        <v>60</v>
      </c>
      <c r="C72" s="298" t="s">
        <v>9</v>
      </c>
    </row>
    <row r="73" spans="2:3" ht="14.25">
      <c r="B73" s="299" t="s">
        <v>61</v>
      </c>
      <c r="C73" s="300" t="s">
        <v>8</v>
      </c>
    </row>
  </sheetData>
  <sheetProtection algorithmName="SHA-512" hashValue="GDdrlhKOLYeUScM24d952sn19JJYEfoIFf26azcl+J3/yKB4H2Fx9B/AgWKFr4JOkwRzX90ksTgggWNs4qQAbA==" saltValue="2xSwq7b44dQDdkzaC9jM6Q==" spinCount="100000" sheet="1" objects="1" scenarios="1"/>
  <conditionalFormatting sqref="C35:C73">
    <cfRule type="cellIs" dxfId="129" priority="1" operator="equal">
      <formula>"large urban"</formula>
    </cfRule>
    <cfRule type="cellIs" dxfId="128" priority="2" operator="equal">
      <formula>"Small Urban"</formula>
    </cfRule>
    <cfRule type="cellIs" dxfId="127" priority="3" operator="equal">
      <formula>"Rural"</formula>
    </cfRule>
  </conditionalFormatting>
  <pageMargins left="0.7" right="0.7" top="0.75" bottom="0.75" header="0.3" footer="0.3"/>
  <pageSetup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47879-F815-4499-9F61-7E911BE0DACB}">
  <sheetPr>
    <pageSetUpPr fitToPage="1"/>
  </sheetPr>
  <dimension ref="A1:P44"/>
  <sheetViews>
    <sheetView zoomScale="50" zoomScaleNormal="50" workbookViewId="0">
      <selection activeCell="F1" sqref="A1:F1048576"/>
    </sheetView>
  </sheetViews>
  <sheetFormatPr defaultColWidth="9.28515625" defaultRowHeight="14.25"/>
  <cols>
    <col min="1" max="1" width="48" style="23" bestFit="1" customWidth="1"/>
    <col min="2" max="2" width="24.42578125" style="23" customWidth="1"/>
    <col min="3" max="5" width="23.28515625" style="24" bestFit="1" customWidth="1"/>
    <col min="6" max="6" width="23.28515625" style="23" bestFit="1" customWidth="1"/>
    <col min="7" max="7" width="21.85546875" style="23" bestFit="1" customWidth="1"/>
    <col min="8" max="8" width="16.42578125" style="23" bestFit="1" customWidth="1"/>
    <col min="9" max="9" width="23.85546875" style="165" bestFit="1" customWidth="1"/>
    <col min="10" max="10" width="21.42578125" style="165" customWidth="1"/>
    <col min="11" max="11" width="19.28515625" style="23" customWidth="1"/>
    <col min="12" max="12" width="18.85546875" style="23" customWidth="1"/>
    <col min="13" max="13" width="22.42578125" style="23" customWidth="1"/>
    <col min="14" max="15" width="11.42578125" style="23" customWidth="1"/>
    <col min="16" max="16384" width="9.28515625" style="23"/>
  </cols>
  <sheetData>
    <row r="1" spans="1:15" ht="28.5">
      <c r="A1" s="231" t="s">
        <v>206</v>
      </c>
      <c r="B1" s="232" t="s">
        <v>233</v>
      </c>
      <c r="C1" s="232" t="s">
        <v>234</v>
      </c>
      <c r="D1" s="232" t="s">
        <v>161</v>
      </c>
      <c r="E1" s="232" t="s">
        <v>141</v>
      </c>
      <c r="F1" s="232" t="s">
        <v>97</v>
      </c>
      <c r="G1" s="214" t="s">
        <v>210</v>
      </c>
      <c r="H1" s="215" t="s">
        <v>211</v>
      </c>
      <c r="I1" s="215" t="s">
        <v>212</v>
      </c>
      <c r="J1" s="875" t="s">
        <v>213</v>
      </c>
      <c r="K1" s="876" t="s">
        <v>214</v>
      </c>
      <c r="L1" s="876" t="s">
        <v>215</v>
      </c>
      <c r="M1" s="231" t="s">
        <v>216</v>
      </c>
      <c r="N1" s="203" t="s">
        <v>217</v>
      </c>
      <c r="O1" s="203" t="s">
        <v>218</v>
      </c>
    </row>
    <row r="2" spans="1:15" s="19" customFormat="1">
      <c r="A2" s="208" t="s">
        <v>23</v>
      </c>
      <c r="B2" s="225">
        <v>598768</v>
      </c>
      <c r="C2" s="225">
        <v>634178</v>
      </c>
      <c r="D2" s="225">
        <v>692104</v>
      </c>
      <c r="E2" s="225">
        <v>650766</v>
      </c>
      <c r="F2" s="211">
        <v>563585</v>
      </c>
      <c r="G2" s="201" t="s">
        <v>219</v>
      </c>
      <c r="H2">
        <v>1</v>
      </c>
      <c r="I2">
        <v>1</v>
      </c>
      <c r="J2" s="268">
        <f>AVERAGE(VRMsizing[[#This Row],[FY23 Revenue Miles]:[FY25 Revenue Miles]])</f>
        <v>635485</v>
      </c>
      <c r="K2" s="268">
        <f>AVERAGE(VRMsizing[[#This Row],[FY22 Revenue Miles2]:[FY24 Revenue Miles]])</f>
        <v>659016</v>
      </c>
      <c r="L2" s="268">
        <f>AVERAGE(VRMsizing[[#This Row],[FY21 Revenue Miles]:[FY23 Revenue Miles]])</f>
        <v>641683.33333333337</v>
      </c>
      <c r="M2" s="269" t="str">
        <f>VLOOKUP(Ridership[[#This Row],[Agency]],Assumptions!$B$35:$C$73, 2, FALSE)</f>
        <v>Rural</v>
      </c>
      <c r="N2" s="235">
        <f>VRMsizing[[#This Row],[FY25 Revenue Miles]]-VRMsizing[[#This Row],[FY24 Revenue Miles]]</f>
        <v>-87181</v>
      </c>
      <c r="O2" s="236">
        <f>N2/VRMsizing[[#This Row],[FY24 Revenue Miles]]</f>
        <v>-0.13396674073322823</v>
      </c>
    </row>
    <row r="3" spans="1:15" s="19" customFormat="1">
      <c r="A3" s="208" t="s">
        <v>27</v>
      </c>
      <c r="B3" s="210">
        <v>46763</v>
      </c>
      <c r="C3" s="210">
        <v>84107</v>
      </c>
      <c r="D3" s="210">
        <v>94333</v>
      </c>
      <c r="E3" s="210">
        <v>91473</v>
      </c>
      <c r="F3" s="211">
        <v>90570</v>
      </c>
      <c r="G3" s="201" t="s">
        <v>219</v>
      </c>
      <c r="H3">
        <v>2</v>
      </c>
      <c r="I3">
        <v>5</v>
      </c>
      <c r="J3" s="268">
        <f>AVERAGE(VRMsizing[[#This Row],[FY23 Revenue Miles]:[FY25 Revenue Miles]])</f>
        <v>92125.333333333328</v>
      </c>
      <c r="K3" s="245">
        <f>AVERAGE(VRMsizing[[#This Row],[FY22 Revenue Miles2]:[FY24 Revenue Miles]])</f>
        <v>89971</v>
      </c>
      <c r="L3" s="245">
        <f>AVERAGE(VRMsizing[[#This Row],[FY21 Revenue Miles]:[FY23 Revenue Miles]])</f>
        <v>75067.666666666672</v>
      </c>
      <c r="M3" s="245" t="str">
        <f>VLOOKUP(Ridership[[#This Row],[Agency]],Assumptions!$B$35:$C$73, 2, FALSE)</f>
        <v>Small Urban</v>
      </c>
      <c r="N3" s="235">
        <f>VRMsizing[[#This Row],[FY25 Revenue Miles]]-VRMsizing[[#This Row],[FY24 Revenue Miles]]</f>
        <v>-903</v>
      </c>
      <c r="O3" s="236">
        <f>N3/VRMsizing[[#This Row],[FY24 Revenue Miles]]</f>
        <v>-9.8717654389819942E-3</v>
      </c>
    </row>
    <row r="4" spans="1:15" s="19" customFormat="1">
      <c r="A4" s="208" t="s">
        <v>35</v>
      </c>
      <c r="B4" s="211">
        <v>384307</v>
      </c>
      <c r="C4" s="211">
        <v>440288</v>
      </c>
      <c r="D4" s="211">
        <v>490148</v>
      </c>
      <c r="E4" s="211">
        <v>522054</v>
      </c>
      <c r="F4" s="211">
        <v>474357</v>
      </c>
      <c r="G4" s="201" t="s">
        <v>219</v>
      </c>
      <c r="H4">
        <v>3</v>
      </c>
      <c r="I4">
        <v>13</v>
      </c>
      <c r="J4" s="268">
        <f>AVERAGE(VRMsizing[[#This Row],[FY23 Revenue Miles]:[FY25 Revenue Miles]])</f>
        <v>495519.66666666669</v>
      </c>
      <c r="K4" s="245">
        <f>AVERAGE(VRMsizing[[#This Row],[FY22 Revenue Miles2]:[FY24 Revenue Miles]])</f>
        <v>484163.33333333331</v>
      </c>
      <c r="L4" s="245">
        <f>AVERAGE(VRMsizing[[#This Row],[FY21 Revenue Miles]:[FY23 Revenue Miles]])</f>
        <v>438247.66666666669</v>
      </c>
      <c r="M4" s="245" t="str">
        <f>VLOOKUP(Ridership[[#This Row],[Agency]],Assumptions!$B$35:$C$73, 2, FALSE)</f>
        <v>Rural</v>
      </c>
      <c r="N4" s="235">
        <f>VRMsizing[[#This Row],[FY25 Revenue Miles]]-VRMsizing[[#This Row],[FY24 Revenue Miles]]</f>
        <v>-47697</v>
      </c>
      <c r="O4" s="236">
        <f>N4/VRMsizing[[#This Row],[FY24 Revenue Miles]]</f>
        <v>-9.1364111758553718E-2</v>
      </c>
    </row>
    <row r="5" spans="1:15" s="19" customFormat="1">
      <c r="A5" s="208" t="s">
        <v>45</v>
      </c>
      <c r="B5" s="211">
        <v>550975</v>
      </c>
      <c r="C5" s="211">
        <v>639628</v>
      </c>
      <c r="D5" s="211">
        <v>800372</v>
      </c>
      <c r="E5" s="211">
        <v>745438</v>
      </c>
      <c r="F5" s="211">
        <v>726302</v>
      </c>
      <c r="G5" s="201" t="s">
        <v>219</v>
      </c>
      <c r="H5">
        <v>4</v>
      </c>
      <c r="I5">
        <v>23</v>
      </c>
      <c r="J5" s="268">
        <f>AVERAGE(VRMsizing[[#This Row],[FY23 Revenue Miles]:[FY25 Revenue Miles]])</f>
        <v>757370.66666666663</v>
      </c>
      <c r="K5" s="245">
        <f>AVERAGE(VRMsizing[[#This Row],[FY22 Revenue Miles2]:[FY24 Revenue Miles]])</f>
        <v>728479.33333333337</v>
      </c>
      <c r="L5" s="245">
        <f>AVERAGE(VRMsizing[[#This Row],[FY21 Revenue Miles]:[FY23 Revenue Miles]])</f>
        <v>663658.33333333337</v>
      </c>
      <c r="M5" s="245" t="str">
        <f>VLOOKUP(Ridership[[#This Row],[Agency]],Assumptions!$B$35:$C$73, 2, FALSE)</f>
        <v>Rural</v>
      </c>
      <c r="N5" s="235">
        <f>VRMsizing[[#This Row],[FY25 Revenue Miles]]-VRMsizing[[#This Row],[FY24 Revenue Miles]]</f>
        <v>-19136</v>
      </c>
      <c r="O5" s="236">
        <f>N5/VRMsizing[[#This Row],[FY24 Revenue Miles]]</f>
        <v>-2.5670813669279001E-2</v>
      </c>
    </row>
    <row r="6" spans="1:15" s="19" customFormat="1">
      <c r="A6" s="208" t="s">
        <v>58</v>
      </c>
      <c r="B6" s="211">
        <v>129731</v>
      </c>
      <c r="C6" s="211">
        <v>129480</v>
      </c>
      <c r="D6" s="211">
        <v>132943</v>
      </c>
      <c r="E6" s="211">
        <v>126970</v>
      </c>
      <c r="F6" s="211">
        <v>124910</v>
      </c>
      <c r="G6" s="201" t="s">
        <v>219</v>
      </c>
      <c r="H6">
        <v>5</v>
      </c>
      <c r="I6">
        <v>36</v>
      </c>
      <c r="J6" s="268">
        <f>AVERAGE(VRMsizing[[#This Row],[FY23 Revenue Miles]:[FY25 Revenue Miles]])</f>
        <v>128274.33333333333</v>
      </c>
      <c r="K6" s="245">
        <f>AVERAGE(VRMsizing[[#This Row],[FY22 Revenue Miles2]:[FY24 Revenue Miles]])</f>
        <v>129797.66666666667</v>
      </c>
      <c r="L6" s="245">
        <f>AVERAGE(VRMsizing[[#This Row],[FY21 Revenue Miles]:[FY23 Revenue Miles]])</f>
        <v>130718</v>
      </c>
      <c r="M6" s="245" t="str">
        <f>VLOOKUP(Ridership[[#This Row],[Agency]],Assumptions!$B$35:$C$73, 2, FALSE)</f>
        <v>Rural</v>
      </c>
      <c r="N6" s="235">
        <f>VRMsizing[[#This Row],[FY25 Revenue Miles]]-VRMsizing[[#This Row],[FY24 Revenue Miles]]</f>
        <v>-2060</v>
      </c>
      <c r="O6" s="236">
        <f>N6/VRMsizing[[#This Row],[FY24 Revenue Miles]]</f>
        <v>-1.6224304953926124E-2</v>
      </c>
    </row>
    <row r="7" spans="1:15" s="19" customFormat="1">
      <c r="A7" s="208" t="s">
        <v>26</v>
      </c>
      <c r="B7" s="226">
        <v>1043369</v>
      </c>
      <c r="C7" s="226">
        <v>1184761</v>
      </c>
      <c r="D7" s="226">
        <v>1242786</v>
      </c>
      <c r="E7" s="226">
        <v>1380275</v>
      </c>
      <c r="F7" s="211">
        <v>1616127</v>
      </c>
      <c r="G7" s="201" t="s">
        <v>220</v>
      </c>
      <c r="H7">
        <v>6</v>
      </c>
      <c r="I7">
        <v>4</v>
      </c>
      <c r="J7" s="268">
        <f>AVERAGE(VRMsizing[[#This Row],[FY23 Revenue Miles]:[FY25 Revenue Miles]])</f>
        <v>1413062.6666666667</v>
      </c>
      <c r="K7" s="245">
        <f>AVERAGE(VRMsizing[[#This Row],[FY22 Revenue Miles2]:[FY24 Revenue Miles]])</f>
        <v>1269274</v>
      </c>
      <c r="L7" s="245">
        <f>AVERAGE(VRMsizing[[#This Row],[FY21 Revenue Miles]:[FY23 Revenue Miles]])</f>
        <v>1156972</v>
      </c>
      <c r="M7" s="245" t="str">
        <f>VLOOKUP(Ridership[[#This Row],[Agency]],Assumptions!$B$35:$C$73, 2, FALSE)</f>
        <v>Small Urban</v>
      </c>
      <c r="N7" s="235">
        <f>VRMsizing[[#This Row],[FY25 Revenue Miles]]-VRMsizing[[#This Row],[FY24 Revenue Miles]]</f>
        <v>235852</v>
      </c>
      <c r="O7" s="236">
        <f>N7/VRMsizing[[#This Row],[FY24 Revenue Miles]]</f>
        <v>0.17087319555885602</v>
      </c>
    </row>
    <row r="8" spans="1:15" s="19" customFormat="1">
      <c r="A8" s="208" t="s">
        <v>37</v>
      </c>
      <c r="B8" s="211">
        <v>610784</v>
      </c>
      <c r="C8" s="211">
        <v>598250</v>
      </c>
      <c r="D8" s="211">
        <v>548622</v>
      </c>
      <c r="E8" s="211">
        <v>554895</v>
      </c>
      <c r="F8" s="211">
        <v>532870</v>
      </c>
      <c r="G8" s="201" t="s">
        <v>221</v>
      </c>
      <c r="H8">
        <v>7</v>
      </c>
      <c r="I8">
        <v>15</v>
      </c>
      <c r="J8" s="268">
        <f>AVERAGE(VRMsizing[[#This Row],[FY23 Revenue Miles]:[FY25 Revenue Miles]])</f>
        <v>545462.33333333337</v>
      </c>
      <c r="K8" s="245">
        <f>AVERAGE(VRMsizing[[#This Row],[FY22 Revenue Miles2]:[FY24 Revenue Miles]])</f>
        <v>567255.66666666663</v>
      </c>
      <c r="L8" s="245">
        <f>AVERAGE(VRMsizing[[#This Row],[FY21 Revenue Miles]:[FY23 Revenue Miles]])</f>
        <v>585885.33333333337</v>
      </c>
      <c r="M8" s="245" t="str">
        <f>VLOOKUP(Ridership[[#This Row],[Agency]],Assumptions!$B$35:$C$73, 2, FALSE)</f>
        <v>Small Urban</v>
      </c>
      <c r="N8" s="235">
        <f>VRMsizing[[#This Row],[FY25 Revenue Miles]]-VRMsizing[[#This Row],[FY24 Revenue Miles]]</f>
        <v>-22025</v>
      </c>
      <c r="O8" s="236">
        <f>N8/VRMsizing[[#This Row],[FY24 Revenue Miles]]</f>
        <v>-3.9692194018688218E-2</v>
      </c>
    </row>
    <row r="9" spans="1:15" s="19" customFormat="1">
      <c r="A9" s="208" t="s">
        <v>31</v>
      </c>
      <c r="B9" s="210">
        <v>368836</v>
      </c>
      <c r="C9" s="210">
        <v>415022</v>
      </c>
      <c r="D9" s="210">
        <v>442128</v>
      </c>
      <c r="E9" s="210">
        <v>463883</v>
      </c>
      <c r="F9" s="211">
        <v>470169</v>
      </c>
      <c r="G9" s="201" t="s">
        <v>222</v>
      </c>
      <c r="H9">
        <v>8</v>
      </c>
      <c r="I9">
        <v>9</v>
      </c>
      <c r="J9" s="268">
        <f>AVERAGE(VRMsizing[[#This Row],[FY23 Revenue Miles]:[FY25 Revenue Miles]])</f>
        <v>458726.66666666669</v>
      </c>
      <c r="K9" s="245">
        <f>AVERAGE(VRMsizing[[#This Row],[FY22 Revenue Miles2]:[FY24 Revenue Miles]])</f>
        <v>440344.33333333331</v>
      </c>
      <c r="L9" s="245">
        <f>AVERAGE(VRMsizing[[#This Row],[FY21 Revenue Miles]:[FY23 Revenue Miles]])</f>
        <v>408662</v>
      </c>
      <c r="M9" s="245" t="str">
        <f>VLOOKUP(Ridership[[#This Row],[Agency]],Assumptions!$B$35:$C$73, 2, FALSE)</f>
        <v>Rural</v>
      </c>
      <c r="N9" s="235">
        <f>VRMsizing[[#This Row],[FY25 Revenue Miles]]-VRMsizing[[#This Row],[FY24 Revenue Miles]]</f>
        <v>6286</v>
      </c>
      <c r="O9" s="236">
        <f>N9/VRMsizing[[#This Row],[FY24 Revenue Miles]]</f>
        <v>1.3550830705156258E-2</v>
      </c>
    </row>
    <row r="10" spans="1:15" s="19" customFormat="1">
      <c r="A10" s="208" t="s">
        <v>41</v>
      </c>
      <c r="B10" s="211">
        <v>48608</v>
      </c>
      <c r="C10" s="211">
        <v>52366</v>
      </c>
      <c r="D10" s="211">
        <v>54991</v>
      </c>
      <c r="E10" s="211">
        <v>53914</v>
      </c>
      <c r="F10" s="211">
        <v>53460</v>
      </c>
      <c r="G10" s="201" t="s">
        <v>222</v>
      </c>
      <c r="H10">
        <v>9</v>
      </c>
      <c r="I10">
        <v>19</v>
      </c>
      <c r="J10" s="268">
        <f>AVERAGE(VRMsizing[[#This Row],[FY23 Revenue Miles]:[FY25 Revenue Miles]])</f>
        <v>54121.666666666664</v>
      </c>
      <c r="K10" s="245">
        <f>AVERAGE(VRMsizing[[#This Row],[FY22 Revenue Miles2]:[FY24 Revenue Miles]])</f>
        <v>53757</v>
      </c>
      <c r="L10" s="245">
        <f>AVERAGE(VRMsizing[[#This Row],[FY21 Revenue Miles]:[FY23 Revenue Miles]])</f>
        <v>51988.333333333336</v>
      </c>
      <c r="M10" s="245" t="str">
        <f>VLOOKUP(Ridership[[#This Row],[Agency]],Assumptions!$B$35:$C$73, 2, FALSE)</f>
        <v>Rural</v>
      </c>
      <c r="N10" s="235">
        <f>VRMsizing[[#This Row],[FY25 Revenue Miles]]-VRMsizing[[#This Row],[FY24 Revenue Miles]]</f>
        <v>-454</v>
      </c>
      <c r="O10" s="236">
        <f>N10/VRMsizing[[#This Row],[FY24 Revenue Miles]]</f>
        <v>-8.4208183403197689E-3</v>
      </c>
    </row>
    <row r="11" spans="1:15" s="19" customFormat="1">
      <c r="A11" s="208" t="s">
        <v>42</v>
      </c>
      <c r="B11" s="211">
        <v>13836191</v>
      </c>
      <c r="C11" s="211">
        <v>12904187</v>
      </c>
      <c r="D11" s="211">
        <v>13757219</v>
      </c>
      <c r="E11" s="211">
        <v>13608118.7366</v>
      </c>
      <c r="F11" s="211">
        <v>12877408</v>
      </c>
      <c r="G11" s="201" t="s">
        <v>222</v>
      </c>
      <c r="H11">
        <v>10</v>
      </c>
      <c r="I11">
        <v>20</v>
      </c>
      <c r="J11" s="268">
        <f>AVERAGE(VRMsizing[[#This Row],[FY23 Revenue Miles]:[FY25 Revenue Miles]])</f>
        <v>13414248.578866666</v>
      </c>
      <c r="K11" s="245">
        <f>AVERAGE(VRMsizing[[#This Row],[FY22 Revenue Miles2]:[FY24 Revenue Miles]])</f>
        <v>13423174.912199998</v>
      </c>
      <c r="L11" s="245">
        <f>AVERAGE(VRMsizing[[#This Row],[FY21 Revenue Miles]:[FY23 Revenue Miles]])</f>
        <v>13499199</v>
      </c>
      <c r="M11" s="245" t="str">
        <f>VLOOKUP(Ridership[[#This Row],[Agency]],Assumptions!$B$35:$C$73, 2, FALSE)</f>
        <v>Large Urban</v>
      </c>
      <c r="N11" s="235">
        <f>VRMsizing[[#This Row],[FY25 Revenue Miles]]-VRMsizing[[#This Row],[FY24 Revenue Miles]]</f>
        <v>-730710.73660000041</v>
      </c>
      <c r="O11" s="236">
        <f>N11/VRMsizing[[#This Row],[FY24 Revenue Miles]]</f>
        <v>-5.3696675546686848E-2</v>
      </c>
    </row>
    <row r="12" spans="1:15" s="19" customFormat="1">
      <c r="A12" s="208" t="s">
        <v>53</v>
      </c>
      <c r="B12" s="211">
        <v>463549</v>
      </c>
      <c r="C12" s="211">
        <v>483018</v>
      </c>
      <c r="D12" s="211">
        <v>510877</v>
      </c>
      <c r="E12" s="211">
        <v>529269</v>
      </c>
      <c r="F12" s="211">
        <v>543346</v>
      </c>
      <c r="G12" s="201" t="s">
        <v>222</v>
      </c>
      <c r="H12">
        <v>11</v>
      </c>
      <c r="I12">
        <v>31</v>
      </c>
      <c r="J12" s="268">
        <f>AVERAGE(VRMsizing[[#This Row],[FY23 Revenue Miles]:[FY25 Revenue Miles]])</f>
        <v>527830.66666666663</v>
      </c>
      <c r="K12" s="245">
        <f>AVERAGE(VRMsizing[[#This Row],[FY22 Revenue Miles2]:[FY24 Revenue Miles]])</f>
        <v>507721.33333333331</v>
      </c>
      <c r="L12" s="245">
        <f>AVERAGE(VRMsizing[[#This Row],[FY21 Revenue Miles]:[FY23 Revenue Miles]])</f>
        <v>485814.66666666669</v>
      </c>
      <c r="M12" s="245" t="str">
        <f>VLOOKUP(Ridership[[#This Row],[Agency]],Assumptions!$B$35:$C$73, 2, FALSE)</f>
        <v>Rural</v>
      </c>
      <c r="N12" s="235">
        <f>VRMsizing[[#This Row],[FY25 Revenue Miles]]-VRMsizing[[#This Row],[FY24 Revenue Miles]]</f>
        <v>14077</v>
      </c>
      <c r="O12" s="236">
        <f>N12/VRMsizing[[#This Row],[FY24 Revenue Miles]]</f>
        <v>2.6597061229733841E-2</v>
      </c>
    </row>
    <row r="13" spans="1:15" s="19" customFormat="1">
      <c r="A13" s="208" t="s">
        <v>59</v>
      </c>
      <c r="B13" s="211">
        <v>9510</v>
      </c>
      <c r="C13" s="211">
        <v>6777</v>
      </c>
      <c r="D13" s="211">
        <v>4641</v>
      </c>
      <c r="E13" s="211">
        <v>13470</v>
      </c>
      <c r="F13" s="211">
        <v>13408</v>
      </c>
      <c r="G13" s="201" t="s">
        <v>222</v>
      </c>
      <c r="H13">
        <v>12</v>
      </c>
      <c r="I13">
        <v>37</v>
      </c>
      <c r="J13" s="268">
        <f>AVERAGE(VRMsizing[[#This Row],[FY23 Revenue Miles]:[FY25 Revenue Miles]])</f>
        <v>10506.333333333334</v>
      </c>
      <c r="K13" s="245">
        <f>AVERAGE(VRMsizing[[#This Row],[FY22 Revenue Miles2]:[FY24 Revenue Miles]])</f>
        <v>8296</v>
      </c>
      <c r="L13" s="245">
        <f>AVERAGE(VRMsizing[[#This Row],[FY21 Revenue Miles]:[FY23 Revenue Miles]])</f>
        <v>6976</v>
      </c>
      <c r="M13" s="245" t="str">
        <f>VLOOKUP(Ridership[[#This Row],[Agency]],Assumptions!$B$35:$C$73, 2, FALSE)</f>
        <v>Rural</v>
      </c>
      <c r="N13" s="235">
        <f>VRMsizing[[#This Row],[FY25 Revenue Miles]]-VRMsizing[[#This Row],[FY24 Revenue Miles]]</f>
        <v>-62</v>
      </c>
      <c r="O13" s="236">
        <f>N13/VRMsizing[[#This Row],[FY24 Revenue Miles]]</f>
        <v>-4.6028210838901266E-3</v>
      </c>
    </row>
    <row r="14" spans="1:15" s="19" customFormat="1">
      <c r="A14" s="208" t="s">
        <v>61</v>
      </c>
      <c r="B14" s="211">
        <v>1072707</v>
      </c>
      <c r="C14" s="211">
        <v>1099092</v>
      </c>
      <c r="D14" s="211">
        <v>1099660</v>
      </c>
      <c r="E14" s="211">
        <v>1127856</v>
      </c>
      <c r="F14" s="211">
        <v>1121781</v>
      </c>
      <c r="G14" s="201" t="s">
        <v>222</v>
      </c>
      <c r="H14">
        <v>13</v>
      </c>
      <c r="I14">
        <v>39</v>
      </c>
      <c r="J14" s="268">
        <f>AVERAGE(VRMsizing[[#This Row],[FY23 Revenue Miles]:[FY25 Revenue Miles]])</f>
        <v>1116432.3333333333</v>
      </c>
      <c r="K14" s="245">
        <f>AVERAGE(VRMsizing[[#This Row],[FY22 Revenue Miles2]:[FY24 Revenue Miles]])</f>
        <v>1108869.3333333333</v>
      </c>
      <c r="L14" s="245">
        <f>AVERAGE(VRMsizing[[#This Row],[FY21 Revenue Miles]:[FY23 Revenue Miles]])</f>
        <v>1090486.3333333333</v>
      </c>
      <c r="M14" s="245" t="str">
        <f>VLOOKUP(Ridership[[#This Row],[Agency]],Assumptions!$B$35:$C$73, 2, FALSE)</f>
        <v>Small Urban</v>
      </c>
      <c r="N14" s="235">
        <f>VRMsizing[[#This Row],[FY25 Revenue Miles]]-VRMsizing[[#This Row],[FY24 Revenue Miles]]</f>
        <v>-6075</v>
      </c>
      <c r="O14" s="236">
        <f>N14/VRMsizing[[#This Row],[FY24 Revenue Miles]]</f>
        <v>-5.386325913946461E-3</v>
      </c>
    </row>
    <row r="15" spans="1:15" s="19" customFormat="1">
      <c r="A15" s="208" t="s">
        <v>34</v>
      </c>
      <c r="B15" s="211">
        <v>561833</v>
      </c>
      <c r="C15" s="211">
        <v>531990</v>
      </c>
      <c r="D15" s="211">
        <v>470807</v>
      </c>
      <c r="E15" s="211">
        <v>565576</v>
      </c>
      <c r="F15" s="211">
        <v>522819</v>
      </c>
      <c r="G15" s="201" t="s">
        <v>223</v>
      </c>
      <c r="H15">
        <v>14</v>
      </c>
      <c r="I15">
        <v>12</v>
      </c>
      <c r="J15" s="268">
        <f>AVERAGE(VRMsizing[[#This Row],[FY23 Revenue Miles]:[FY25 Revenue Miles]])</f>
        <v>519734</v>
      </c>
      <c r="K15" s="245">
        <f>AVERAGE(VRMsizing[[#This Row],[FY22 Revenue Miles2]:[FY24 Revenue Miles]])</f>
        <v>522791</v>
      </c>
      <c r="L15" s="245">
        <f>AVERAGE(VRMsizing[[#This Row],[FY21 Revenue Miles]:[FY23 Revenue Miles]])</f>
        <v>521543.33333333331</v>
      </c>
      <c r="M15" s="245" t="str">
        <f>VLOOKUP(Ridership[[#This Row],[Agency]],Assumptions!$B$35:$C$73, 2, FALSE)</f>
        <v>Rural</v>
      </c>
      <c r="N15" s="235">
        <f>VRMsizing[[#This Row],[FY25 Revenue Miles]]-VRMsizing[[#This Row],[FY24 Revenue Miles]]</f>
        <v>-42757</v>
      </c>
      <c r="O15" s="236">
        <f>N15/VRMsizing[[#This Row],[FY24 Revenue Miles]]</f>
        <v>-7.5599035319744823E-2</v>
      </c>
    </row>
    <row r="16" spans="1:15" s="19" customFormat="1">
      <c r="A16" s="208" t="s">
        <v>36</v>
      </c>
      <c r="B16" s="211">
        <v>188179</v>
      </c>
      <c r="C16" s="211">
        <v>174059</v>
      </c>
      <c r="D16" s="211">
        <v>171222</v>
      </c>
      <c r="E16" s="211">
        <v>168612</v>
      </c>
      <c r="F16" s="211">
        <v>170330</v>
      </c>
      <c r="G16" s="201" t="s">
        <v>223</v>
      </c>
      <c r="H16">
        <v>15</v>
      </c>
      <c r="I16">
        <v>14</v>
      </c>
      <c r="J16" s="268">
        <f>AVERAGE(VRMsizing[[#This Row],[FY23 Revenue Miles]:[FY25 Revenue Miles]])</f>
        <v>170054.66666666666</v>
      </c>
      <c r="K16" s="245">
        <f>AVERAGE(VRMsizing[[#This Row],[FY22 Revenue Miles2]:[FY24 Revenue Miles]])</f>
        <v>171297.66666666666</v>
      </c>
      <c r="L16" s="245">
        <f>AVERAGE(VRMsizing[[#This Row],[FY21 Revenue Miles]:[FY23 Revenue Miles]])</f>
        <v>177820</v>
      </c>
      <c r="M16" s="245" t="str">
        <f>VLOOKUP(Ridership[[#This Row],[Agency]],Assumptions!$B$35:$C$73, 2, FALSE)</f>
        <v>Rural</v>
      </c>
      <c r="N16" s="235">
        <f>VRMsizing[[#This Row],[FY25 Revenue Miles]]-VRMsizing[[#This Row],[FY24 Revenue Miles]]</f>
        <v>1718</v>
      </c>
      <c r="O16" s="236">
        <f>N16/VRMsizing[[#This Row],[FY24 Revenue Miles]]</f>
        <v>1.0189073138329419E-2</v>
      </c>
    </row>
    <row r="17" spans="1:16" s="19" customFormat="1">
      <c r="A17" s="208" t="s">
        <v>38</v>
      </c>
      <c r="B17" s="211">
        <v>1070838</v>
      </c>
      <c r="C17" s="211">
        <v>1073547</v>
      </c>
      <c r="D17" s="211">
        <v>1150861</v>
      </c>
      <c r="E17" s="211">
        <v>1157573.97</v>
      </c>
      <c r="F17" s="211">
        <v>1183040</v>
      </c>
      <c r="G17" s="201" t="s">
        <v>223</v>
      </c>
      <c r="H17">
        <v>16</v>
      </c>
      <c r="I17">
        <v>16</v>
      </c>
      <c r="J17" s="268">
        <f>AVERAGE(VRMsizing[[#This Row],[FY23 Revenue Miles]:[FY25 Revenue Miles]])</f>
        <v>1163824.99</v>
      </c>
      <c r="K17" s="245">
        <f>AVERAGE(VRMsizing[[#This Row],[FY22 Revenue Miles2]:[FY24 Revenue Miles]])</f>
        <v>1127327.3233333332</v>
      </c>
      <c r="L17" s="245">
        <f>AVERAGE(VRMsizing[[#This Row],[FY21 Revenue Miles]:[FY23 Revenue Miles]])</f>
        <v>1098415.3333333333</v>
      </c>
      <c r="M17" s="245" t="str">
        <f>VLOOKUP(Ridership[[#This Row],[Agency]],Assumptions!$B$35:$C$73, 2, FALSE)</f>
        <v>Small Urban</v>
      </c>
      <c r="N17" s="235">
        <f>VRMsizing[[#This Row],[FY25 Revenue Miles]]-VRMsizing[[#This Row],[FY24 Revenue Miles]]</f>
        <v>25466.030000000028</v>
      </c>
      <c r="O17" s="236">
        <f>N17/VRMsizing[[#This Row],[FY24 Revenue Miles]]</f>
        <v>2.1999483972501583E-2</v>
      </c>
    </row>
    <row r="18" spans="1:16" s="19" customFormat="1">
      <c r="A18" s="208" t="s">
        <v>54</v>
      </c>
      <c r="B18" s="211">
        <v>49158</v>
      </c>
      <c r="C18" s="211">
        <v>48696</v>
      </c>
      <c r="D18" s="211">
        <v>48742</v>
      </c>
      <c r="E18" s="211">
        <v>50699</v>
      </c>
      <c r="F18" s="211">
        <v>52054</v>
      </c>
      <c r="G18" s="201" t="s">
        <v>223</v>
      </c>
      <c r="H18">
        <v>17</v>
      </c>
      <c r="I18">
        <v>32</v>
      </c>
      <c r="J18" s="268">
        <f>AVERAGE(VRMsizing[[#This Row],[FY23 Revenue Miles]:[FY25 Revenue Miles]])</f>
        <v>50498.333333333336</v>
      </c>
      <c r="K18" s="245">
        <f>AVERAGE(VRMsizing[[#This Row],[FY22 Revenue Miles2]:[FY24 Revenue Miles]])</f>
        <v>49379</v>
      </c>
      <c r="L18" s="245">
        <f>AVERAGE(VRMsizing[[#This Row],[FY21 Revenue Miles]:[FY23 Revenue Miles]])</f>
        <v>48865.333333333336</v>
      </c>
      <c r="M18" s="245" t="str">
        <f>VLOOKUP(Ridership[[#This Row],[Agency]],Assumptions!$B$35:$C$73, 2, FALSE)</f>
        <v>Rural</v>
      </c>
      <c r="N18" s="235">
        <f>VRMsizing[[#This Row],[FY25 Revenue Miles]]-VRMsizing[[#This Row],[FY24 Revenue Miles]]</f>
        <v>1355</v>
      </c>
      <c r="O18" s="236">
        <f>N18/VRMsizing[[#This Row],[FY24 Revenue Miles]]</f>
        <v>2.672636541154658E-2</v>
      </c>
    </row>
    <row r="19" spans="1:16" s="19" customFormat="1">
      <c r="A19" s="208" t="s">
        <v>33</v>
      </c>
      <c r="B19" s="226">
        <v>2056022.5</v>
      </c>
      <c r="C19" s="226">
        <f>1820398+427962.5</f>
        <v>2248360.5</v>
      </c>
      <c r="D19" s="226">
        <f>2090076+501367</f>
        <v>2591443</v>
      </c>
      <c r="E19" s="226">
        <f>3306565+587607</f>
        <v>3894172</v>
      </c>
      <c r="F19" s="233">
        <f>3402392+544235</f>
        <v>3946627</v>
      </c>
      <c r="G19" s="201" t="s">
        <v>224</v>
      </c>
      <c r="H19">
        <v>18</v>
      </c>
      <c r="I19">
        <v>11</v>
      </c>
      <c r="J19" s="268">
        <f>AVERAGE(VRMsizing[[#This Row],[FY23 Revenue Miles]:[FY25 Revenue Miles]])</f>
        <v>3477414</v>
      </c>
      <c r="K19" s="245">
        <f>AVERAGE(VRMsizing[[#This Row],[FY22 Revenue Miles2]:[FY24 Revenue Miles]])</f>
        <v>2911325.1666666665</v>
      </c>
      <c r="L19" s="245">
        <f>AVERAGE(VRMsizing[[#This Row],[FY21 Revenue Miles]:[FY23 Revenue Miles]])</f>
        <v>2298608.6666666665</v>
      </c>
      <c r="M19" s="245" t="str">
        <f>VLOOKUP(Ridership[[#This Row],[Agency]],Assumptions!$B$35:$C$73, 2, FALSE)</f>
        <v>Large Urban</v>
      </c>
      <c r="N19" s="235">
        <f>VRMsizing[[#This Row],[FY25 Revenue Miles]]-VRMsizing[[#This Row],[FY24 Revenue Miles]]</f>
        <v>52455</v>
      </c>
      <c r="O19" s="236">
        <f>N19/VRMsizing[[#This Row],[FY24 Revenue Miles]]</f>
        <v>1.347012920846845E-2</v>
      </c>
      <c r="P19" s="234"/>
    </row>
    <row r="20" spans="1:16" s="19" customFormat="1">
      <c r="A20" s="208" t="s">
        <v>46</v>
      </c>
      <c r="B20" s="211">
        <v>1815035</v>
      </c>
      <c r="C20" s="211">
        <v>2083544</v>
      </c>
      <c r="D20" s="211">
        <v>2205880</v>
      </c>
      <c r="E20" s="211">
        <v>2329537</v>
      </c>
      <c r="F20" s="211">
        <v>2247168</v>
      </c>
      <c r="G20" s="201" t="s">
        <v>224</v>
      </c>
      <c r="H20">
        <v>19</v>
      </c>
      <c r="I20">
        <v>24</v>
      </c>
      <c r="J20" s="268">
        <f>AVERAGE(VRMsizing[[#This Row],[FY23 Revenue Miles]:[FY25 Revenue Miles]])</f>
        <v>2260861.6666666665</v>
      </c>
      <c r="K20" s="245">
        <f>AVERAGE(VRMsizing[[#This Row],[FY22 Revenue Miles2]:[FY24 Revenue Miles]])</f>
        <v>2206320.3333333335</v>
      </c>
      <c r="L20" s="245">
        <f>AVERAGE(VRMsizing[[#This Row],[FY21 Revenue Miles]:[FY23 Revenue Miles]])</f>
        <v>2034819.6666666667</v>
      </c>
      <c r="M20" s="245" t="str">
        <f>VLOOKUP(Ridership[[#This Row],[Agency]],Assumptions!$B$35:$C$73, 2, FALSE)</f>
        <v>Large Urban</v>
      </c>
      <c r="N20" s="235">
        <f>VRMsizing[[#This Row],[FY25 Revenue Miles]]-VRMsizing[[#This Row],[FY24 Revenue Miles]]</f>
        <v>-82369</v>
      </c>
      <c r="O20" s="236">
        <f>N20/VRMsizing[[#This Row],[FY24 Revenue Miles]]</f>
        <v>-3.5358528325585725E-2</v>
      </c>
      <c r="P20" s="234"/>
    </row>
    <row r="21" spans="1:16" s="19" customFormat="1">
      <c r="A21" s="208" t="s">
        <v>47</v>
      </c>
      <c r="B21" s="211">
        <v>1902798</v>
      </c>
      <c r="C21" s="211">
        <v>2503129</v>
      </c>
      <c r="D21" s="211">
        <v>3036654</v>
      </c>
      <c r="E21" s="211">
        <v>2865159</v>
      </c>
      <c r="F21" s="211">
        <v>2959703</v>
      </c>
      <c r="G21" s="201" t="s">
        <v>224</v>
      </c>
      <c r="H21">
        <v>20</v>
      </c>
      <c r="I21">
        <v>25</v>
      </c>
      <c r="J21" s="268">
        <f>AVERAGE(VRMsizing[[#This Row],[FY23 Revenue Miles]:[FY25 Revenue Miles]])</f>
        <v>2953838.6666666665</v>
      </c>
      <c r="K21" s="245">
        <f>AVERAGE(VRMsizing[[#This Row],[FY22 Revenue Miles2]:[FY24 Revenue Miles]])</f>
        <v>2801647.3333333335</v>
      </c>
      <c r="L21" s="245">
        <f>AVERAGE(VRMsizing[[#This Row],[FY21 Revenue Miles]:[FY23 Revenue Miles]])</f>
        <v>2480860.3333333335</v>
      </c>
      <c r="M21" s="245" t="str">
        <f>VLOOKUP(Ridership[[#This Row],[Agency]],Assumptions!$B$35:$C$73, 2, FALSE)</f>
        <v>Large Urban</v>
      </c>
      <c r="N21" s="235">
        <f>VRMsizing[[#This Row],[FY25 Revenue Miles]]-VRMsizing[[#This Row],[FY24 Revenue Miles]]</f>
        <v>94544</v>
      </c>
      <c r="O21" s="236">
        <f>N21/VRMsizing[[#This Row],[FY24 Revenue Miles]]</f>
        <v>3.2997819667250579E-2</v>
      </c>
      <c r="P21" s="234"/>
    </row>
    <row r="22" spans="1:16" s="19" customFormat="1">
      <c r="A22" s="208" t="s">
        <v>48</v>
      </c>
      <c r="B22" s="211">
        <v>439054</v>
      </c>
      <c r="C22" s="211">
        <v>434291</v>
      </c>
      <c r="D22" s="211">
        <v>439291</v>
      </c>
      <c r="E22" s="211">
        <v>434414</v>
      </c>
      <c r="F22" s="211">
        <v>434479</v>
      </c>
      <c r="G22" s="201" t="s">
        <v>224</v>
      </c>
      <c r="H22">
        <v>21</v>
      </c>
      <c r="I22">
        <v>26</v>
      </c>
      <c r="J22" s="268">
        <f>AVERAGE(VRMsizing[[#This Row],[FY23 Revenue Miles]:[FY25 Revenue Miles]])</f>
        <v>436061.33333333331</v>
      </c>
      <c r="K22" s="245">
        <f>AVERAGE(VRMsizing[[#This Row],[FY22 Revenue Miles2]:[FY24 Revenue Miles]])</f>
        <v>435998.66666666669</v>
      </c>
      <c r="L22" s="245">
        <f>AVERAGE(VRMsizing[[#This Row],[FY21 Revenue Miles]:[FY23 Revenue Miles]])</f>
        <v>437545.33333333331</v>
      </c>
      <c r="M22" s="245" t="str">
        <f>VLOOKUP(Ridership[[#This Row],[Agency]],Assumptions!$B$35:$C$73, 2, FALSE)</f>
        <v>Large Urban</v>
      </c>
      <c r="N22" s="235">
        <f>VRMsizing[[#This Row],[FY25 Revenue Miles]]-VRMsizing[[#This Row],[FY24 Revenue Miles]]</f>
        <v>65</v>
      </c>
      <c r="O22" s="236">
        <f>N22/VRMsizing[[#This Row],[FY24 Revenue Miles]]</f>
        <v>1.4962685364652153E-4</v>
      </c>
    </row>
    <row r="23" spans="1:16" s="19" customFormat="1">
      <c r="A23" s="208" t="s">
        <v>49</v>
      </c>
      <c r="B23" s="226">
        <v>10038009</v>
      </c>
      <c r="C23" s="226">
        <f>10856360+85445</f>
        <v>10941805</v>
      </c>
      <c r="D23" s="211">
        <v>11068404</v>
      </c>
      <c r="E23" s="211">
        <v>10820543.213</v>
      </c>
      <c r="F23" s="211">
        <v>11834233</v>
      </c>
      <c r="G23" s="201" t="s">
        <v>224</v>
      </c>
      <c r="H23">
        <v>22</v>
      </c>
      <c r="I23">
        <v>27</v>
      </c>
      <c r="J23" s="268">
        <f>AVERAGE(VRMsizing[[#This Row],[FY23 Revenue Miles]:[FY25 Revenue Miles]])</f>
        <v>11241060.071</v>
      </c>
      <c r="K23" s="245">
        <f>AVERAGE(VRMsizing[[#This Row],[FY22 Revenue Miles2]:[FY24 Revenue Miles]])</f>
        <v>10943584.071</v>
      </c>
      <c r="L23" s="245">
        <f>AVERAGE(VRMsizing[[#This Row],[FY21 Revenue Miles]:[FY23 Revenue Miles]])</f>
        <v>10682739.333333334</v>
      </c>
      <c r="M23" s="245" t="str">
        <f>VLOOKUP(Ridership[[#This Row],[Agency]],Assumptions!$B$35:$C$73, 2, FALSE)</f>
        <v>Large Urban</v>
      </c>
      <c r="N23" s="235">
        <f>VRMsizing[[#This Row],[FY25 Revenue Miles]]-VRMsizing[[#This Row],[FY24 Revenue Miles]]</f>
        <v>1013689.7870000005</v>
      </c>
      <c r="O23" s="236">
        <f>N23/VRMsizing[[#This Row],[FY24 Revenue Miles]]</f>
        <v>9.3681968367552465E-2</v>
      </c>
    </row>
    <row r="24" spans="1:16" s="19" customFormat="1">
      <c r="A24" s="208" t="s">
        <v>50</v>
      </c>
      <c r="B24" s="226">
        <v>5052936.38</v>
      </c>
      <c r="C24" s="226">
        <f>3292747+1905553</f>
        <v>5198300</v>
      </c>
      <c r="D24" s="226">
        <f>3127398+1784701</f>
        <v>4912099</v>
      </c>
      <c r="E24" s="226">
        <f>3747819.65+1922948</f>
        <v>5670767.6500000004</v>
      </c>
      <c r="F24" s="233">
        <f>4028184.95969473+2078432.4</f>
        <v>6106617.3596947305</v>
      </c>
      <c r="G24" s="201" t="s">
        <v>224</v>
      </c>
      <c r="H24">
        <v>23</v>
      </c>
      <c r="I24">
        <v>28</v>
      </c>
      <c r="J24" s="268">
        <f>AVERAGE(VRMsizing[[#This Row],[FY23 Revenue Miles]:[FY25 Revenue Miles]])</f>
        <v>5563161.3365649106</v>
      </c>
      <c r="K24" s="245">
        <f>AVERAGE(VRMsizing[[#This Row],[FY22 Revenue Miles2]:[FY24 Revenue Miles]])</f>
        <v>5260388.8833333338</v>
      </c>
      <c r="L24" s="245">
        <f>AVERAGE(VRMsizing[[#This Row],[FY21 Revenue Miles]:[FY23 Revenue Miles]])</f>
        <v>5054445.126666666</v>
      </c>
      <c r="M24" s="245" t="str">
        <f>VLOOKUP(Ridership[[#This Row],[Agency]],Assumptions!$B$35:$C$73, 2, FALSE)</f>
        <v>Large Urban</v>
      </c>
      <c r="N24" s="235">
        <f>VRMsizing[[#This Row],[FY25 Revenue Miles]]-VRMsizing[[#This Row],[FY24 Revenue Miles]]</f>
        <v>435849.70969473012</v>
      </c>
      <c r="O24" s="236">
        <f>N24/VRMsizing[[#This Row],[FY24 Revenue Miles]]</f>
        <v>7.685903154482622E-2</v>
      </c>
    </row>
    <row r="25" spans="1:16" s="19" customFormat="1">
      <c r="A25" s="208" t="s">
        <v>29</v>
      </c>
      <c r="B25" s="211">
        <v>549049</v>
      </c>
      <c r="C25" s="211">
        <v>554292</v>
      </c>
      <c r="D25" s="211">
        <v>553318</v>
      </c>
      <c r="E25" s="211">
        <v>539337</v>
      </c>
      <c r="F25" s="211">
        <v>571373</v>
      </c>
      <c r="G25" s="201" t="s">
        <v>225</v>
      </c>
      <c r="H25">
        <v>24</v>
      </c>
      <c r="I25">
        <v>7</v>
      </c>
      <c r="J25" s="268">
        <f>AVERAGE(VRMsizing[[#This Row],[FY23 Revenue Miles]:[FY25 Revenue Miles]])</f>
        <v>554676</v>
      </c>
      <c r="K25" s="245">
        <f>AVERAGE(VRMsizing[[#This Row],[FY22 Revenue Miles2]:[FY24 Revenue Miles]])</f>
        <v>548982.33333333337</v>
      </c>
      <c r="L25" s="245">
        <f>AVERAGE(VRMsizing[[#This Row],[FY21 Revenue Miles]:[FY23 Revenue Miles]])</f>
        <v>552219.66666666663</v>
      </c>
      <c r="M25" s="245" t="str">
        <f>VLOOKUP(Ridership[[#This Row],[Agency]],Assumptions!$B$35:$C$73, 2, FALSE)</f>
        <v>Large Urban</v>
      </c>
      <c r="N25" s="235">
        <f>VRMsizing[[#This Row],[FY25 Revenue Miles]]-VRMsizing[[#This Row],[FY24 Revenue Miles]]</f>
        <v>32036</v>
      </c>
      <c r="O25" s="236">
        <f>N25/VRMsizing[[#This Row],[FY24 Revenue Miles]]</f>
        <v>5.9398854519530461E-2</v>
      </c>
    </row>
    <row r="26" spans="1:16" s="19" customFormat="1">
      <c r="A26" s="208" t="s">
        <v>39</v>
      </c>
      <c r="B26" s="211">
        <v>7290100</v>
      </c>
      <c r="C26" s="211">
        <v>7359404</v>
      </c>
      <c r="D26" s="226">
        <f>6987882+34410</f>
        <v>7022292</v>
      </c>
      <c r="E26" s="226">
        <f>7664912+60554.06</f>
        <v>7725466.0599999996</v>
      </c>
      <c r="F26" s="233">
        <f>9029698+11322</f>
        <v>9041020</v>
      </c>
      <c r="G26" s="201" t="s">
        <v>225</v>
      </c>
      <c r="H26">
        <v>25</v>
      </c>
      <c r="I26">
        <v>17</v>
      </c>
      <c r="J26" s="268">
        <f>AVERAGE(VRMsizing[[#This Row],[FY23 Revenue Miles]:[FY25 Revenue Miles]])</f>
        <v>7929592.6866666665</v>
      </c>
      <c r="K26" s="245">
        <f>AVERAGE(VRMsizing[[#This Row],[FY22 Revenue Miles2]:[FY24 Revenue Miles]])</f>
        <v>7369054.0199999996</v>
      </c>
      <c r="L26" s="245">
        <f>AVERAGE(VRMsizing[[#This Row],[FY21 Revenue Miles]:[FY23 Revenue Miles]])</f>
        <v>7223932</v>
      </c>
      <c r="M26" s="245" t="str">
        <f>VLOOKUP(Ridership[[#This Row],[Agency]],Assumptions!$B$35:$C$73, 2, FALSE)</f>
        <v>Large Urban</v>
      </c>
      <c r="N26" s="235">
        <f>VRMsizing[[#This Row],[FY25 Revenue Miles]]-VRMsizing[[#This Row],[FY24 Revenue Miles]]</f>
        <v>1315553.9400000004</v>
      </c>
      <c r="O26" s="236">
        <f>N26/VRMsizing[[#This Row],[FY24 Revenue Miles]]</f>
        <v>0.1702879709499365</v>
      </c>
    </row>
    <row r="27" spans="1:16" s="19" customFormat="1">
      <c r="A27" s="208" t="s">
        <v>55</v>
      </c>
      <c r="B27" s="211">
        <v>0</v>
      </c>
      <c r="C27" s="211">
        <v>0</v>
      </c>
      <c r="D27" s="211">
        <v>14369</v>
      </c>
      <c r="E27" s="211">
        <v>20921</v>
      </c>
      <c r="F27" s="211">
        <v>19549</v>
      </c>
      <c r="G27" s="201" t="s">
        <v>226</v>
      </c>
      <c r="H27">
        <v>26</v>
      </c>
      <c r="I27">
        <v>33</v>
      </c>
      <c r="J27" s="268">
        <f>AVERAGE(VRMsizing[[#This Row],[FY23 Revenue Miles]:[FY25 Revenue Miles]])</f>
        <v>18279.666666666668</v>
      </c>
      <c r="K27" s="245">
        <f>AVERAGE(VRMsizing[[#This Row],[FY22 Revenue Miles2]:[FY24 Revenue Miles]])</f>
        <v>11763.333333333334</v>
      </c>
      <c r="L27" s="245">
        <f>AVERAGE(VRMsizing[[#This Row],[FY21 Revenue Miles]:[FY23 Revenue Miles]])</f>
        <v>4789.666666666667</v>
      </c>
      <c r="M27" s="245" t="str">
        <f>VLOOKUP(Ridership[[#This Row],[Agency]],Assumptions!$B$35:$C$73, 2, FALSE)</f>
        <v>Rural</v>
      </c>
      <c r="N27" s="235">
        <f>VRMsizing[[#This Row],[FY25 Revenue Miles]]-VRMsizing[[#This Row],[FY24 Revenue Miles]]</f>
        <v>-1372</v>
      </c>
      <c r="O27" s="236">
        <f>N27/VRMsizing[[#This Row],[FY24 Revenue Miles]]</f>
        <v>-6.5580039195067164E-2</v>
      </c>
    </row>
    <row r="28" spans="1:16" s="19" customFormat="1">
      <c r="A28" s="208" t="s">
        <v>56</v>
      </c>
      <c r="B28" s="211">
        <v>1082589</v>
      </c>
      <c r="C28" s="211">
        <v>1050017</v>
      </c>
      <c r="D28" s="211">
        <v>970481</v>
      </c>
      <c r="E28" s="211">
        <v>1022384</v>
      </c>
      <c r="F28" s="211">
        <v>1225247</v>
      </c>
      <c r="G28" s="201" t="s">
        <v>226</v>
      </c>
      <c r="H28">
        <v>27</v>
      </c>
      <c r="I28">
        <v>34</v>
      </c>
      <c r="J28" s="268">
        <f>AVERAGE(VRMsizing[[#This Row],[FY23 Revenue Miles]:[FY25 Revenue Miles]])</f>
        <v>1072704</v>
      </c>
      <c r="K28" s="245">
        <f>AVERAGE(VRMsizing[[#This Row],[FY22 Revenue Miles2]:[FY24 Revenue Miles]])</f>
        <v>1014294</v>
      </c>
      <c r="L28" s="245">
        <f>AVERAGE(VRMsizing[[#This Row],[FY21 Revenue Miles]:[FY23 Revenue Miles]])</f>
        <v>1034362.3333333334</v>
      </c>
      <c r="M28" s="245" t="str">
        <f>VLOOKUP(Ridership[[#This Row],[Agency]],Assumptions!$B$35:$C$73, 2, FALSE)</f>
        <v>Small Urban</v>
      </c>
      <c r="N28" s="235">
        <f>VRMsizing[[#This Row],[FY25 Revenue Miles]]-VRMsizing[[#This Row],[FY24 Revenue Miles]]</f>
        <v>202863</v>
      </c>
      <c r="O28" s="236">
        <f>N28/VRMsizing[[#This Row],[FY24 Revenue Miles]]</f>
        <v>0.1984215324183477</v>
      </c>
    </row>
    <row r="29" spans="1:16" s="19" customFormat="1">
      <c r="A29" s="208" t="s">
        <v>30</v>
      </c>
      <c r="B29" s="211">
        <v>350787</v>
      </c>
      <c r="C29" s="211">
        <v>373643</v>
      </c>
      <c r="D29" s="211">
        <v>388317</v>
      </c>
      <c r="E29" s="211">
        <v>438033</v>
      </c>
      <c r="F29" s="211">
        <v>415651.78999999992</v>
      </c>
      <c r="G29" s="201" t="s">
        <v>226</v>
      </c>
      <c r="H29">
        <v>28</v>
      </c>
      <c r="I29">
        <v>8</v>
      </c>
      <c r="J29" s="268">
        <f>AVERAGE(VRMsizing[[#This Row],[FY23 Revenue Miles]:[FY25 Revenue Miles]])</f>
        <v>414000.59666666668</v>
      </c>
      <c r="K29" s="245">
        <f>AVERAGE(VRMsizing[[#This Row],[FY22 Revenue Miles2]:[FY24 Revenue Miles]])</f>
        <v>399997.66666666669</v>
      </c>
      <c r="L29" s="245">
        <f>AVERAGE(VRMsizing[[#This Row],[FY21 Revenue Miles]:[FY23 Revenue Miles]])</f>
        <v>370915.66666666669</v>
      </c>
      <c r="M29" s="245" t="str">
        <f>VLOOKUP(Ridership[[#This Row],[Agency]],Assumptions!$B$35:$C$73, 2, FALSE)</f>
        <v>Rural</v>
      </c>
      <c r="N29" s="235">
        <f>VRMsizing[[#This Row],[FY25 Revenue Miles]]-VRMsizing[[#This Row],[FY24 Revenue Miles]]</f>
        <v>-22381.210000000079</v>
      </c>
      <c r="O29" s="236">
        <f>N29/VRMsizing[[#This Row],[FY24 Revenue Miles]]</f>
        <v>-5.1094803359564414E-2</v>
      </c>
    </row>
    <row r="30" spans="1:16" s="19" customFormat="1">
      <c r="A30" s="208" t="s">
        <v>40</v>
      </c>
      <c r="B30" s="211">
        <v>2537776</v>
      </c>
      <c r="C30" s="211">
        <v>2582667</v>
      </c>
      <c r="D30" s="211">
        <v>2266478</v>
      </c>
      <c r="E30" s="211">
        <v>2359994</v>
      </c>
      <c r="F30" s="211">
        <v>2558671</v>
      </c>
      <c r="G30" s="201" t="s">
        <v>226</v>
      </c>
      <c r="H30">
        <v>29</v>
      </c>
      <c r="I30">
        <v>18</v>
      </c>
      <c r="J30" s="268">
        <f>AVERAGE(VRMsizing[[#This Row],[FY23 Revenue Miles]:[FY25 Revenue Miles]])</f>
        <v>2395047.6666666665</v>
      </c>
      <c r="K30" s="245">
        <f>AVERAGE(VRMsizing[[#This Row],[FY22 Revenue Miles2]:[FY24 Revenue Miles]])</f>
        <v>2403046.3333333335</v>
      </c>
      <c r="L30" s="245">
        <f>AVERAGE(VRMsizing[[#This Row],[FY21 Revenue Miles]:[FY23 Revenue Miles]])</f>
        <v>2462307</v>
      </c>
      <c r="M30" s="245" t="str">
        <f>VLOOKUP(Ridership[[#This Row],[Agency]],Assumptions!$B$35:$C$73, 2, FALSE)</f>
        <v>Large Urban</v>
      </c>
      <c r="N30" s="235">
        <f>VRMsizing[[#This Row],[FY25 Revenue Miles]]-VRMsizing[[#This Row],[FY24 Revenue Miles]]</f>
        <v>198677</v>
      </c>
      <c r="O30" s="236">
        <f>N30/VRMsizing[[#This Row],[FY24 Revenue Miles]]</f>
        <v>8.4185383522161497E-2</v>
      </c>
    </row>
    <row r="31" spans="1:16" s="19" customFormat="1">
      <c r="A31" s="208" t="s">
        <v>51</v>
      </c>
      <c r="B31" s="211">
        <v>211357</v>
      </c>
      <c r="C31" s="211">
        <v>220116</v>
      </c>
      <c r="D31" s="211">
        <v>227896</v>
      </c>
      <c r="E31" s="211">
        <v>231250</v>
      </c>
      <c r="F31" s="211">
        <v>230357</v>
      </c>
      <c r="G31" s="201" t="s">
        <v>226</v>
      </c>
      <c r="H31">
        <v>30</v>
      </c>
      <c r="I31">
        <v>29</v>
      </c>
      <c r="J31" s="268">
        <f>AVERAGE(VRMsizing[[#This Row],[FY23 Revenue Miles]:[FY25 Revenue Miles]])</f>
        <v>229834.33333333334</v>
      </c>
      <c r="K31" s="245">
        <f>AVERAGE(VRMsizing[[#This Row],[FY22 Revenue Miles2]:[FY24 Revenue Miles]])</f>
        <v>226420.66666666666</v>
      </c>
      <c r="L31" s="245">
        <f>AVERAGE(VRMsizing[[#This Row],[FY21 Revenue Miles]:[FY23 Revenue Miles]])</f>
        <v>219789.66666666666</v>
      </c>
      <c r="M31" s="245" t="str">
        <f>VLOOKUP(Ridership[[#This Row],[Agency]],Assumptions!$B$35:$C$73, 2, FALSE)</f>
        <v>Rural</v>
      </c>
      <c r="N31" s="235">
        <f>VRMsizing[[#This Row],[FY25 Revenue Miles]]-VRMsizing[[#This Row],[FY24 Revenue Miles]]</f>
        <v>-893</v>
      </c>
      <c r="O31" s="236">
        <f>N31/VRMsizing[[#This Row],[FY24 Revenue Miles]]</f>
        <v>-3.8616216216216218E-3</v>
      </c>
    </row>
    <row r="32" spans="1:16" s="19" customFormat="1">
      <c r="A32" s="208" t="s">
        <v>25</v>
      </c>
      <c r="B32" s="211">
        <v>604900</v>
      </c>
      <c r="C32" s="211">
        <v>710177</v>
      </c>
      <c r="D32" s="211">
        <v>740596</v>
      </c>
      <c r="E32" s="211">
        <v>705618.94</v>
      </c>
      <c r="F32" s="211">
        <v>709247</v>
      </c>
      <c r="G32" s="201" t="s">
        <v>227</v>
      </c>
      <c r="H32">
        <v>31</v>
      </c>
      <c r="I32">
        <v>3</v>
      </c>
      <c r="J32" s="268">
        <f>AVERAGE(VRMsizing[[#This Row],[FY23 Revenue Miles]:[FY25 Revenue Miles]])</f>
        <v>718487.31333333335</v>
      </c>
      <c r="K32" s="245">
        <f>AVERAGE(VRMsizing[[#This Row],[FY22 Revenue Miles2]:[FY24 Revenue Miles]])</f>
        <v>718797.31333333335</v>
      </c>
      <c r="L32" s="245">
        <f>AVERAGE(VRMsizing[[#This Row],[FY21 Revenue Miles]:[FY23 Revenue Miles]])</f>
        <v>685224.33333333337</v>
      </c>
      <c r="M32" s="245" t="str">
        <f>VLOOKUP(Ridership[[#This Row],[Agency]],Assumptions!$B$35:$C$73, 2, FALSE)</f>
        <v>Small Urban</v>
      </c>
      <c r="N32" s="235">
        <f>VRMsizing[[#This Row],[FY25 Revenue Miles]]-VRMsizing[[#This Row],[FY24 Revenue Miles]]</f>
        <v>3628.0600000000559</v>
      </c>
      <c r="O32" s="236">
        <f>N32/VRMsizing[[#This Row],[FY24 Revenue Miles]]</f>
        <v>5.1416703752312203E-3</v>
      </c>
    </row>
    <row r="33" spans="1:15" s="19" customFormat="1">
      <c r="A33" s="208" t="s">
        <v>28</v>
      </c>
      <c r="B33" s="211">
        <v>752668</v>
      </c>
      <c r="C33" s="211">
        <v>753636</v>
      </c>
      <c r="D33" s="211">
        <v>723645</v>
      </c>
      <c r="E33" s="211">
        <v>768657</v>
      </c>
      <c r="F33" s="211">
        <v>793294</v>
      </c>
      <c r="G33" s="201" t="s">
        <v>227</v>
      </c>
      <c r="H33">
        <v>32</v>
      </c>
      <c r="I33">
        <v>6</v>
      </c>
      <c r="J33" s="268">
        <f>AVERAGE(VRMsizing[[#This Row],[FY23 Revenue Miles]:[FY25 Revenue Miles]])</f>
        <v>761865.33333333337</v>
      </c>
      <c r="K33" s="245">
        <f>AVERAGE(VRMsizing[[#This Row],[FY22 Revenue Miles2]:[FY24 Revenue Miles]])</f>
        <v>748646</v>
      </c>
      <c r="L33" s="245">
        <f>AVERAGE(VRMsizing[[#This Row],[FY21 Revenue Miles]:[FY23 Revenue Miles]])</f>
        <v>743316.33333333337</v>
      </c>
      <c r="M33" s="245" t="str">
        <f>VLOOKUP(Ridership[[#This Row],[Agency]],Assumptions!$B$35:$C$73, 2, FALSE)</f>
        <v>Small Urban</v>
      </c>
      <c r="N33" s="235">
        <f>VRMsizing[[#This Row],[FY25 Revenue Miles]]-VRMsizing[[#This Row],[FY24 Revenue Miles]]</f>
        <v>24637</v>
      </c>
      <c r="O33" s="236">
        <f>N33/VRMsizing[[#This Row],[FY24 Revenue Miles]]</f>
        <v>3.2052007592463218E-2</v>
      </c>
    </row>
    <row r="34" spans="1:15" s="19" customFormat="1">
      <c r="A34" s="208" t="s">
        <v>32</v>
      </c>
      <c r="B34" s="211">
        <v>175322</v>
      </c>
      <c r="C34" s="211">
        <v>185237</v>
      </c>
      <c r="D34" s="211">
        <v>226791</v>
      </c>
      <c r="E34" s="211">
        <v>331246</v>
      </c>
      <c r="F34" s="211">
        <v>388329</v>
      </c>
      <c r="G34" s="201" t="s">
        <v>227</v>
      </c>
      <c r="H34">
        <v>33</v>
      </c>
      <c r="I34">
        <v>10</v>
      </c>
      <c r="J34" s="268">
        <f>AVERAGE(VRMsizing[[#This Row],[FY23 Revenue Miles]:[FY25 Revenue Miles]])</f>
        <v>315455.33333333331</v>
      </c>
      <c r="K34" s="245">
        <f>AVERAGE(VRMsizing[[#This Row],[FY22 Revenue Miles2]:[FY24 Revenue Miles]])</f>
        <v>247758</v>
      </c>
      <c r="L34" s="245">
        <f>AVERAGE(VRMsizing[[#This Row],[FY21 Revenue Miles]:[FY23 Revenue Miles]])</f>
        <v>195783.33333333334</v>
      </c>
      <c r="M34" s="245" t="str">
        <f>VLOOKUP(Ridership[[#This Row],[Agency]],Assumptions!$B$35:$C$73, 2, FALSE)</f>
        <v>Small Urban</v>
      </c>
      <c r="N34" s="235">
        <f>VRMsizing[[#This Row],[FY25 Revenue Miles]]-VRMsizing[[#This Row],[FY24 Revenue Miles]]</f>
        <v>57083</v>
      </c>
      <c r="O34" s="236">
        <f>N34/VRMsizing[[#This Row],[FY24 Revenue Miles]]</f>
        <v>0.17232811867916895</v>
      </c>
    </row>
    <row r="35" spans="1:15" s="19" customFormat="1">
      <c r="A35" s="208" t="s">
        <v>24</v>
      </c>
      <c r="B35" s="211">
        <v>1280697</v>
      </c>
      <c r="C35" s="211">
        <v>1402170</v>
      </c>
      <c r="D35" s="211">
        <v>1393044</v>
      </c>
      <c r="E35" s="211">
        <v>1392527</v>
      </c>
      <c r="F35" s="211">
        <v>1316507</v>
      </c>
      <c r="G35" s="201" t="s">
        <v>228</v>
      </c>
      <c r="H35">
        <v>34</v>
      </c>
      <c r="I35">
        <v>2</v>
      </c>
      <c r="J35" s="268">
        <f>AVERAGE(VRMsizing[[#This Row],[FY23 Revenue Miles]:[FY25 Revenue Miles]])</f>
        <v>1367359.3333333333</v>
      </c>
      <c r="K35" s="245">
        <f>AVERAGE(VRMsizing[[#This Row],[FY22 Revenue Miles2]:[FY24 Revenue Miles]])</f>
        <v>1395913.6666666667</v>
      </c>
      <c r="L35" s="245">
        <f>AVERAGE(VRMsizing[[#This Row],[FY21 Revenue Miles]:[FY23 Revenue Miles]])</f>
        <v>1358637</v>
      </c>
      <c r="M35" s="245" t="str">
        <f>VLOOKUP(Ridership[[#This Row],[Agency]],Assumptions!$B$35:$C$73, 2, FALSE)</f>
        <v>Rural</v>
      </c>
      <c r="N35" s="235">
        <f>VRMsizing[[#This Row],[FY25 Revenue Miles]]-VRMsizing[[#This Row],[FY24 Revenue Miles]]</f>
        <v>-76020</v>
      </c>
      <c r="O35" s="236">
        <f>N35/VRMsizing[[#This Row],[FY24 Revenue Miles]]</f>
        <v>-5.4591401100301827E-2</v>
      </c>
    </row>
    <row r="36" spans="1:15" s="19" customFormat="1">
      <c r="A36" s="208" t="s">
        <v>57</v>
      </c>
      <c r="B36" s="211">
        <v>410050</v>
      </c>
      <c r="C36" s="211">
        <v>414537</v>
      </c>
      <c r="D36" s="211">
        <v>418259</v>
      </c>
      <c r="E36" s="211">
        <v>413556</v>
      </c>
      <c r="F36" s="211">
        <v>375346</v>
      </c>
      <c r="G36" s="201" t="s">
        <v>228</v>
      </c>
      <c r="H36">
        <v>35</v>
      </c>
      <c r="I36">
        <v>35</v>
      </c>
      <c r="J36" s="268">
        <f>AVERAGE(VRMsizing[[#This Row],[FY23 Revenue Miles]:[FY25 Revenue Miles]])</f>
        <v>402387</v>
      </c>
      <c r="K36" s="245">
        <f>AVERAGE(VRMsizing[[#This Row],[FY22 Revenue Miles2]:[FY24 Revenue Miles]])</f>
        <v>415450.66666666669</v>
      </c>
      <c r="L36" s="245">
        <f>AVERAGE(VRMsizing[[#This Row],[FY21 Revenue Miles]:[FY23 Revenue Miles]])</f>
        <v>414282</v>
      </c>
      <c r="M36" s="245" t="str">
        <f>VLOOKUP(Ridership[[#This Row],[Agency]],Assumptions!$B$35:$C$73, 2, FALSE)</f>
        <v>Rural</v>
      </c>
      <c r="N36" s="235">
        <f>VRMsizing[[#This Row],[FY25 Revenue Miles]]-VRMsizing[[#This Row],[FY24 Revenue Miles]]</f>
        <v>-38210</v>
      </c>
      <c r="O36" s="236">
        <f>N36/VRMsizing[[#This Row],[FY24 Revenue Miles]]</f>
        <v>-9.2393774966389078E-2</v>
      </c>
    </row>
    <row r="37" spans="1:15" s="19" customFormat="1">
      <c r="A37" s="208" t="s">
        <v>43</v>
      </c>
      <c r="B37" s="226">
        <v>723952</v>
      </c>
      <c r="C37" s="226">
        <v>813639</v>
      </c>
      <c r="D37" s="226">
        <v>941674</v>
      </c>
      <c r="E37" s="226">
        <v>906466.02099999995</v>
      </c>
      <c r="F37" s="211">
        <v>890440</v>
      </c>
      <c r="G37" s="201" t="s">
        <v>228</v>
      </c>
      <c r="H37">
        <v>36</v>
      </c>
      <c r="I37">
        <v>21</v>
      </c>
      <c r="J37" s="268">
        <f>AVERAGE(VRMsizing[[#This Row],[FY23 Revenue Miles]:[FY25 Revenue Miles]])</f>
        <v>912860.00699999987</v>
      </c>
      <c r="K37" s="245">
        <f>AVERAGE(VRMsizing[[#This Row],[FY22 Revenue Miles2]:[FY24 Revenue Miles]])</f>
        <v>887259.67366666661</v>
      </c>
      <c r="L37" s="245">
        <f>AVERAGE(VRMsizing[[#This Row],[FY21 Revenue Miles]:[FY23 Revenue Miles]])</f>
        <v>826421.66666666663</v>
      </c>
      <c r="M37" s="245" t="str">
        <f>VLOOKUP(Ridership[[#This Row],[Agency]],Assumptions!$B$35:$C$73, 2, FALSE)</f>
        <v>Rural</v>
      </c>
      <c r="N37" s="235">
        <f>VRMsizing[[#This Row],[FY25 Revenue Miles]]-VRMsizing[[#This Row],[FY24 Revenue Miles]]</f>
        <v>-16026.02099999995</v>
      </c>
      <c r="O37" s="236">
        <f>N37/VRMsizing[[#This Row],[FY24 Revenue Miles]]</f>
        <v>-1.7679670973568627E-2</v>
      </c>
    </row>
    <row r="38" spans="1:15" s="19" customFormat="1">
      <c r="A38" s="208" t="s">
        <v>44</v>
      </c>
      <c r="B38" s="211">
        <v>52022</v>
      </c>
      <c r="C38" s="211">
        <v>55690</v>
      </c>
      <c r="D38" s="211">
        <v>60529</v>
      </c>
      <c r="E38" s="211">
        <v>59926</v>
      </c>
      <c r="F38" s="211">
        <v>57889</v>
      </c>
      <c r="G38" s="201" t="s">
        <v>228</v>
      </c>
      <c r="H38">
        <v>37</v>
      </c>
      <c r="I38">
        <v>22</v>
      </c>
      <c r="J38" s="268">
        <f>AVERAGE(VRMsizing[[#This Row],[FY23 Revenue Miles]:[FY25 Revenue Miles]])</f>
        <v>59448</v>
      </c>
      <c r="K38" s="245">
        <f>AVERAGE(VRMsizing[[#This Row],[FY22 Revenue Miles2]:[FY24 Revenue Miles]])</f>
        <v>58715</v>
      </c>
      <c r="L38" s="245">
        <f>AVERAGE(VRMsizing[[#This Row],[FY21 Revenue Miles]:[FY23 Revenue Miles]])</f>
        <v>56080.333333333336</v>
      </c>
      <c r="M38" s="245" t="str">
        <f>VLOOKUP(Ridership[[#This Row],[Agency]],Assumptions!$B$35:$C$73, 2, FALSE)</f>
        <v>Rural</v>
      </c>
      <c r="N38" s="235">
        <f>VRMsizing[[#This Row],[FY25 Revenue Miles]]-VRMsizing[[#This Row],[FY24 Revenue Miles]]</f>
        <v>-2037</v>
      </c>
      <c r="O38" s="236">
        <f>N38/VRMsizing[[#This Row],[FY24 Revenue Miles]]</f>
        <v>-3.3991923372158998E-2</v>
      </c>
    </row>
    <row r="39" spans="1:15" s="19" customFormat="1">
      <c r="A39" s="208" t="s">
        <v>52</v>
      </c>
      <c r="B39" s="211">
        <v>354203</v>
      </c>
      <c r="C39" s="211">
        <v>310870</v>
      </c>
      <c r="D39" s="211">
        <v>313578</v>
      </c>
      <c r="E39" s="211">
        <v>310461</v>
      </c>
      <c r="F39" s="211">
        <v>302041</v>
      </c>
      <c r="G39" s="201" t="s">
        <v>228</v>
      </c>
      <c r="H39">
        <v>38</v>
      </c>
      <c r="I39">
        <v>30</v>
      </c>
      <c r="J39" s="268">
        <f>AVERAGE(VRMsizing[[#This Row],[FY23 Revenue Miles]:[FY25 Revenue Miles]])</f>
        <v>308693.33333333331</v>
      </c>
      <c r="K39" s="245">
        <f>AVERAGE(VRMsizing[[#This Row],[FY22 Revenue Miles2]:[FY24 Revenue Miles]])</f>
        <v>311636.33333333331</v>
      </c>
      <c r="L39" s="245">
        <f>AVERAGE(VRMsizing[[#This Row],[FY21 Revenue Miles]:[FY23 Revenue Miles]])</f>
        <v>326217</v>
      </c>
      <c r="M39" s="245" t="str">
        <f>VLOOKUP(Ridership[[#This Row],[Agency]],Assumptions!$B$35:$C$73, 2, FALSE)</f>
        <v>Rural</v>
      </c>
      <c r="N39" s="235">
        <f>VRMsizing[[#This Row],[FY25 Revenue Miles]]-VRMsizing[[#This Row],[FY24 Revenue Miles]]</f>
        <v>-8420</v>
      </c>
      <c r="O39" s="236">
        <f>N39/VRMsizing[[#This Row],[FY24 Revenue Miles]]</f>
        <v>-2.7120958832188263E-2</v>
      </c>
    </row>
    <row r="40" spans="1:15" s="19" customFormat="1">
      <c r="A40" s="208" t="s">
        <v>60</v>
      </c>
      <c r="B40" s="211">
        <v>835707</v>
      </c>
      <c r="C40" s="211">
        <v>935668</v>
      </c>
      <c r="D40" s="226">
        <v>994681</v>
      </c>
      <c r="E40" s="211">
        <v>985112</v>
      </c>
      <c r="F40" s="211">
        <v>983647</v>
      </c>
      <c r="G40" s="201" t="s">
        <v>228</v>
      </c>
      <c r="H40">
        <v>39</v>
      </c>
      <c r="I40">
        <v>38</v>
      </c>
      <c r="J40" s="268">
        <f>AVERAGE(VRMsizing[[#This Row],[FY23 Revenue Miles]:[FY25 Revenue Miles]])</f>
        <v>987813.33333333337</v>
      </c>
      <c r="K40" s="245">
        <f>AVERAGE(VRMsizing[[#This Row],[FY22 Revenue Miles2]:[FY24 Revenue Miles]])</f>
        <v>971820.33333333337</v>
      </c>
      <c r="L40" s="245">
        <f>AVERAGE(VRMsizing[[#This Row],[FY21 Revenue Miles]:[FY23 Revenue Miles]])</f>
        <v>922018.66666666663</v>
      </c>
      <c r="M40" s="245" t="str">
        <f>VLOOKUP(Ridership[[#This Row],[Agency]],Assumptions!$B$35:$C$73, 2, FALSE)</f>
        <v>Rural</v>
      </c>
      <c r="N40" s="235">
        <f>VRMsizing[[#This Row],[FY25 Revenue Miles]]-VRMsizing[[#This Row],[FY24 Revenue Miles]]</f>
        <v>-1465</v>
      </c>
      <c r="O40" s="236">
        <f>N40/VRMsizing[[#This Row],[FY24 Revenue Miles]]</f>
        <v>-1.4871405484858575E-3</v>
      </c>
    </row>
    <row r="41" spans="1:15">
      <c r="A41" s="208" t="s">
        <v>229</v>
      </c>
      <c r="B41" s="216">
        <f>SUBTOTAL(109,VRMsizing[FY21 Revenue Miles])</f>
        <v>59549139.880000003</v>
      </c>
      <c r="C41" s="216">
        <f>SUM(C2:C40)</f>
        <v>61630638.5</v>
      </c>
      <c r="D41" s="216">
        <f>SUM(D2:D40)</f>
        <v>63222175</v>
      </c>
      <c r="E41" s="216">
        <f>SUM(E2:E40)</f>
        <v>66036390.590599991</v>
      </c>
      <c r="F41" s="216">
        <f>SUM(F2:F40)</f>
        <v>68543972.149694741</v>
      </c>
      <c r="G41" s="217" t="s">
        <v>173</v>
      </c>
      <c r="H41" s="26" t="s">
        <v>173</v>
      </c>
      <c r="I41" s="218" t="s">
        <v>173</v>
      </c>
      <c r="N41" s="235">
        <f>F41-E41</f>
        <v>2507581.5590947494</v>
      </c>
      <c r="O41" s="236">
        <f>N41/E41</f>
        <v>3.7972722867922665E-2</v>
      </c>
    </row>
    <row r="42" spans="1:15">
      <c r="A42" s="19" t="s">
        <v>7</v>
      </c>
      <c r="B42" s="19"/>
      <c r="C42" s="20"/>
      <c r="D42" s="21"/>
      <c r="E42" s="22"/>
      <c r="F42" s="19"/>
      <c r="G42" s="19"/>
      <c r="H42" s="19"/>
      <c r="J42" s="908">
        <f>SUMIF(VRMsizing[Agency Type], $A42, VRMsizing[3-Year Average FY27])</f>
        <v>50225962.00643158</v>
      </c>
      <c r="K42" s="908">
        <f>SUMIF(VRMsizing[Agency Type], $A42, VRMsizing[3-Year Average FY26])</f>
        <v>48303522.053199999</v>
      </c>
      <c r="L42" s="908">
        <f>SUMIF(VRMsizing[Agency Type], $A42, VRMsizing[3-Year Average FY25])</f>
        <v>46726676.126666658</v>
      </c>
    </row>
    <row r="43" spans="1:15">
      <c r="A43" s="19" t="s">
        <v>8</v>
      </c>
      <c r="B43" s="19"/>
      <c r="C43" s="22"/>
      <c r="D43" s="22"/>
      <c r="E43" s="22"/>
      <c r="F43" s="19"/>
      <c r="G43" s="19"/>
      <c r="H43" s="19"/>
      <c r="J43" s="908">
        <f>SUMIF(VRMsizing[Agency Type], $A43, VRMsizing[3-Year Average FY27])</f>
        <v>7199419.6366666667</v>
      </c>
      <c r="K43" s="908">
        <f>SUMIF(VRMsizing[Agency Type], $A43, VRMsizing[3-Year Average FY26])</f>
        <v>6892192.6366666667</v>
      </c>
      <c r="L43" s="908">
        <f>SUMIF(VRMsizing[Agency Type], $A43, VRMsizing[3-Year Average FY25])</f>
        <v>6665512.9999999981</v>
      </c>
    </row>
    <row r="44" spans="1:15">
      <c r="A44" s="19" t="s">
        <v>9</v>
      </c>
      <c r="B44" s="19"/>
      <c r="C44" s="22"/>
      <c r="D44" s="22"/>
      <c r="E44" s="22"/>
      <c r="F44" s="19"/>
      <c r="G44" s="19"/>
      <c r="H44" s="19"/>
      <c r="J44" s="908">
        <f>SUMIF(VRMsizing[Agency Type], $A44, VRMsizing[3-Year Average FY27])</f>
        <v>8508797.6036666669</v>
      </c>
      <c r="K44" s="908">
        <f>SUMIF(VRMsizing[Agency Type], $A44, VRMsizing[3-Year Average FY26])</f>
        <v>8434020.0069999993</v>
      </c>
      <c r="L44" s="908">
        <f>SUMIF(VRMsizing[Agency Type], $A44, VRMsizing[3-Year Average FY25])</f>
        <v>8075128.666666667</v>
      </c>
    </row>
  </sheetData>
  <conditionalFormatting sqref="I2:I40">
    <cfRule type="cellIs" dxfId="22" priority="5" operator="lessThan">
      <formula>0</formula>
    </cfRule>
  </conditionalFormatting>
  <conditionalFormatting sqref="J2:J40">
    <cfRule type="cellIs" dxfId="21" priority="6" operator="lessThan">
      <formula>0</formula>
    </cfRule>
  </conditionalFormatting>
  <conditionalFormatting sqref="K2:L2">
    <cfRule type="cellIs" dxfId="20" priority="2" operator="lessThan">
      <formula>0</formula>
    </cfRule>
  </conditionalFormatting>
  <conditionalFormatting sqref="M2">
    <cfRule type="cellIs" dxfId="19" priority="1" operator="lessThan">
      <formula>0</formula>
    </cfRule>
  </conditionalFormatting>
  <conditionalFormatting sqref="N2:O41">
    <cfRule type="cellIs" dxfId="18" priority="3" operator="lessThan">
      <formula>0</formula>
    </cfRule>
    <cfRule type="cellIs" dxfId="17" priority="4" operator="greaterThan">
      <formula>0</formula>
    </cfRule>
  </conditionalFormatting>
  <pageMargins left="0.25" right="0.25" top="0.75" bottom="0.75" header="0.3" footer="0.3"/>
  <pageSetup scale="83" orientation="portrait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9CBC-2123-40DC-B3A9-55FD436AB0AC}">
  <sheetPr>
    <pageSetUpPr fitToPage="1"/>
  </sheetPr>
  <dimension ref="A1:XFD44"/>
  <sheetViews>
    <sheetView topLeftCell="A9" zoomScale="70" zoomScaleNormal="70" workbookViewId="0">
      <selection activeCell="F1" sqref="A1:F1048576"/>
    </sheetView>
  </sheetViews>
  <sheetFormatPr defaultColWidth="9.28515625" defaultRowHeight="14.25"/>
  <cols>
    <col min="1" max="1" width="48" style="23" bestFit="1" customWidth="1"/>
    <col min="2" max="2" width="20.42578125" style="23" customWidth="1"/>
    <col min="3" max="5" width="23.85546875" style="24" bestFit="1" customWidth="1"/>
    <col min="6" max="6" width="23.85546875" style="23" bestFit="1" customWidth="1"/>
    <col min="7" max="7" width="16.85546875" style="23" bestFit="1" customWidth="1"/>
    <col min="8" max="8" width="15" style="23" bestFit="1" customWidth="1"/>
    <col min="9" max="9" width="22.42578125" style="23" bestFit="1" customWidth="1"/>
    <col min="10" max="12" width="16.42578125" style="23" customWidth="1"/>
    <col min="13" max="13" width="17.85546875" style="23" customWidth="1"/>
    <col min="14" max="16384" width="9.28515625" style="23"/>
  </cols>
  <sheetData>
    <row r="1" spans="1:13" ht="30" customHeight="1">
      <c r="A1" s="212" t="s">
        <v>206</v>
      </c>
      <c r="B1" s="386" t="s">
        <v>235</v>
      </c>
      <c r="C1" s="386" t="s">
        <v>236</v>
      </c>
      <c r="D1" s="386" t="s">
        <v>237</v>
      </c>
      <c r="E1" s="386" t="s">
        <v>238</v>
      </c>
      <c r="F1" s="386" t="s">
        <v>239</v>
      </c>
      <c r="G1" s="387" t="s">
        <v>210</v>
      </c>
      <c r="H1" s="387" t="s">
        <v>211</v>
      </c>
      <c r="I1" s="387" t="s">
        <v>212</v>
      </c>
      <c r="J1" s="869" t="s">
        <v>213</v>
      </c>
      <c r="K1" s="869" t="s">
        <v>214</v>
      </c>
      <c r="L1" s="869" t="s">
        <v>215</v>
      </c>
      <c r="M1" s="231" t="s">
        <v>216</v>
      </c>
    </row>
    <row r="2" spans="1:13">
      <c r="A2" s="208" t="s">
        <v>23</v>
      </c>
      <c r="B2" s="219">
        <v>1885201</v>
      </c>
      <c r="C2" s="219">
        <v>2305461</v>
      </c>
      <c r="D2" s="220">
        <v>2499963</v>
      </c>
      <c r="E2" s="223">
        <v>2553471</v>
      </c>
      <c r="F2" s="384">
        <v>2524115</v>
      </c>
      <c r="G2" s="201" t="s">
        <v>219</v>
      </c>
      <c r="H2" s="23">
        <v>1</v>
      </c>
      <c r="I2" s="23">
        <v>1</v>
      </c>
      <c r="J2" s="385">
        <f>AVERAGE(OpCost[[#This Row],[FY23 Operating Cost Performance]:[FY25 Operating Cost Performance]])</f>
        <v>2525849.6666666665</v>
      </c>
      <c r="K2" s="385">
        <f>AVERAGE(OpCost[[#This Row],[FY22 Operating Cost Performance2]:[FY24 Operating Cost Performance]])</f>
        <v>2452965</v>
      </c>
      <c r="L2" s="385">
        <f>AVERAGE(OpCost[[#This Row],[FY21 Operating Cost Performance]:[FY23 Operating Cost Performance]])</f>
        <v>2230208.3333333335</v>
      </c>
      <c r="M2" s="909" t="str">
        <f>VLOOKUP(Ridership[[#This Row],[Agency]],Assumptions!$B$35:$C$73, 2, FALSE)</f>
        <v>Rural</v>
      </c>
    </row>
    <row r="3" spans="1:13">
      <c r="A3" s="208" t="s">
        <v>27</v>
      </c>
      <c r="B3" s="219">
        <v>420143</v>
      </c>
      <c r="C3" s="219">
        <v>453078</v>
      </c>
      <c r="D3" s="220">
        <v>398814</v>
      </c>
      <c r="E3" s="388">
        <v>361548</v>
      </c>
      <c r="F3" s="384">
        <v>420188</v>
      </c>
      <c r="G3" s="201" t="s">
        <v>219</v>
      </c>
      <c r="H3" s="23">
        <v>2</v>
      </c>
      <c r="I3" s="23">
        <v>5</v>
      </c>
      <c r="J3" s="385">
        <f>AVERAGE(OpCost[[#This Row],[FY23 Operating Cost Performance]:[FY25 Operating Cost Performance]])</f>
        <v>393516.66666666669</v>
      </c>
      <c r="K3" s="385">
        <f>AVERAGE(OpCost[[#This Row],[FY22 Operating Cost Performance2]:[FY24 Operating Cost Performance]])</f>
        <v>404480</v>
      </c>
      <c r="L3" s="385">
        <f>AVERAGE(OpCost[[#This Row],[FY21 Operating Cost Performance]:[FY23 Operating Cost Performance]])</f>
        <v>424011.66666666669</v>
      </c>
      <c r="M3" s="385" t="str">
        <f>VLOOKUP(Ridership[[#This Row],[Agency]],Assumptions!$B$35:$C$73, 2, FALSE)</f>
        <v>Small Urban</v>
      </c>
    </row>
    <row r="4" spans="1:13">
      <c r="A4" s="208" t="s">
        <v>35</v>
      </c>
      <c r="B4" s="219">
        <v>2417284</v>
      </c>
      <c r="C4" s="219">
        <v>2625058</v>
      </c>
      <c r="D4" s="220">
        <v>2701881</v>
      </c>
      <c r="E4" s="388">
        <v>2998198</v>
      </c>
      <c r="F4" s="384">
        <v>3065339</v>
      </c>
      <c r="G4" s="201" t="s">
        <v>219</v>
      </c>
      <c r="H4" s="23">
        <v>3</v>
      </c>
      <c r="I4" s="23">
        <v>13</v>
      </c>
      <c r="J4" s="385">
        <f>AVERAGE(OpCost[[#This Row],[FY23 Operating Cost Performance]:[FY25 Operating Cost Performance]])</f>
        <v>2921806</v>
      </c>
      <c r="K4" s="385">
        <f>AVERAGE(OpCost[[#This Row],[FY22 Operating Cost Performance2]:[FY24 Operating Cost Performance]])</f>
        <v>2775045.6666666665</v>
      </c>
      <c r="L4" s="385">
        <f>AVERAGE(OpCost[[#This Row],[FY21 Operating Cost Performance]:[FY23 Operating Cost Performance]])</f>
        <v>2581407.6666666665</v>
      </c>
      <c r="M4" s="385" t="str">
        <f>VLOOKUP(Ridership[[#This Row],[Agency]],Assumptions!$B$35:$C$73, 2, FALSE)</f>
        <v>Rural</v>
      </c>
    </row>
    <row r="5" spans="1:13">
      <c r="A5" s="208" t="s">
        <v>45</v>
      </c>
      <c r="B5" s="219">
        <v>1490840</v>
      </c>
      <c r="C5" s="219">
        <v>2166873</v>
      </c>
      <c r="D5" s="220">
        <v>2152208</v>
      </c>
      <c r="E5" s="223">
        <v>2155919</v>
      </c>
      <c r="F5" s="384">
        <v>2152505</v>
      </c>
      <c r="G5" s="201" t="s">
        <v>219</v>
      </c>
      <c r="H5" s="23">
        <v>4</v>
      </c>
      <c r="I5" s="23">
        <v>23</v>
      </c>
      <c r="J5" s="385">
        <f>AVERAGE(OpCost[[#This Row],[FY23 Operating Cost Performance]:[FY25 Operating Cost Performance]])</f>
        <v>2153544</v>
      </c>
      <c r="K5" s="385">
        <f>AVERAGE(OpCost[[#This Row],[FY22 Operating Cost Performance2]:[FY24 Operating Cost Performance]])</f>
        <v>2158333.3333333335</v>
      </c>
      <c r="L5" s="385">
        <f>AVERAGE(OpCost[[#This Row],[FY21 Operating Cost Performance]:[FY23 Operating Cost Performance]])</f>
        <v>1936640.3333333333</v>
      </c>
      <c r="M5" s="385" t="str">
        <f>VLOOKUP(Ridership[[#This Row],[Agency]],Assumptions!$B$35:$C$73, 2, FALSE)</f>
        <v>Rural</v>
      </c>
    </row>
    <row r="6" spans="1:13">
      <c r="A6" s="208" t="s">
        <v>58</v>
      </c>
      <c r="B6" s="219">
        <v>362879</v>
      </c>
      <c r="C6" s="219">
        <v>476060</v>
      </c>
      <c r="D6" s="220">
        <v>456069</v>
      </c>
      <c r="E6" s="223">
        <v>447645</v>
      </c>
      <c r="F6" s="384">
        <v>458740</v>
      </c>
      <c r="G6" s="201" t="s">
        <v>219</v>
      </c>
      <c r="H6" s="23">
        <v>5</v>
      </c>
      <c r="I6" s="23">
        <v>36</v>
      </c>
      <c r="J6" s="385">
        <f>AVERAGE(OpCost[[#This Row],[FY23 Operating Cost Performance]:[FY25 Operating Cost Performance]])</f>
        <v>454151.33333333331</v>
      </c>
      <c r="K6" s="385">
        <f>AVERAGE(OpCost[[#This Row],[FY22 Operating Cost Performance2]:[FY24 Operating Cost Performance]])</f>
        <v>459924.66666666669</v>
      </c>
      <c r="L6" s="385">
        <f>AVERAGE(OpCost[[#This Row],[FY21 Operating Cost Performance]:[FY23 Operating Cost Performance]])</f>
        <v>431669.33333333331</v>
      </c>
      <c r="M6" s="385" t="str">
        <f>VLOOKUP(Ridership[[#This Row],[Agency]],Assumptions!$B$35:$C$73, 2, FALSE)</f>
        <v>Rural</v>
      </c>
    </row>
    <row r="7" spans="1:13">
      <c r="A7" s="208" t="s">
        <v>26</v>
      </c>
      <c r="B7" s="228">
        <v>12875783</v>
      </c>
      <c r="C7" s="228">
        <f>9197369+3756448</f>
        <v>12953817</v>
      </c>
      <c r="D7" s="229">
        <f>10488989+4264004</f>
        <v>14752993</v>
      </c>
      <c r="E7" s="223">
        <v>14481448</v>
      </c>
      <c r="F7" s="384">
        <v>19397700</v>
      </c>
      <c r="G7" s="201" t="s">
        <v>220</v>
      </c>
      <c r="H7" s="23">
        <v>6</v>
      </c>
      <c r="I7" s="23">
        <v>4</v>
      </c>
      <c r="J7" s="385">
        <f>AVERAGE(OpCost[[#This Row],[FY23 Operating Cost Performance]:[FY25 Operating Cost Performance]])</f>
        <v>16210713.666666666</v>
      </c>
      <c r="K7" s="385">
        <f>AVERAGE(OpCost[[#This Row],[FY22 Operating Cost Performance2]:[FY24 Operating Cost Performance]])</f>
        <v>14062752.666666666</v>
      </c>
      <c r="L7" s="385">
        <f>AVERAGE(OpCost[[#This Row],[FY21 Operating Cost Performance]:[FY23 Operating Cost Performance]])</f>
        <v>13527531</v>
      </c>
      <c r="M7" s="385" t="str">
        <f>VLOOKUP(Ridership[[#This Row],[Agency]],Assumptions!$B$35:$C$73, 2, FALSE)</f>
        <v>Small Urban</v>
      </c>
    </row>
    <row r="8" spans="1:13">
      <c r="A8" s="208" t="s">
        <v>37</v>
      </c>
      <c r="B8" s="219">
        <v>3992271</v>
      </c>
      <c r="C8" s="219">
        <v>4537045</v>
      </c>
      <c r="D8" s="220">
        <v>4568165</v>
      </c>
      <c r="E8" s="223">
        <v>5267046</v>
      </c>
      <c r="F8" s="384">
        <v>5394452</v>
      </c>
      <c r="G8" s="201" t="s">
        <v>221</v>
      </c>
      <c r="H8" s="23">
        <v>7</v>
      </c>
      <c r="I8" s="23">
        <v>15</v>
      </c>
      <c r="J8" s="385">
        <f>AVERAGE(OpCost[[#This Row],[FY23 Operating Cost Performance]:[FY25 Operating Cost Performance]])</f>
        <v>5076554.333333333</v>
      </c>
      <c r="K8" s="385">
        <f>AVERAGE(OpCost[[#This Row],[FY22 Operating Cost Performance2]:[FY24 Operating Cost Performance]])</f>
        <v>4790752</v>
      </c>
      <c r="L8" s="385">
        <f>AVERAGE(OpCost[[#This Row],[FY21 Operating Cost Performance]:[FY23 Operating Cost Performance]])</f>
        <v>4365827</v>
      </c>
      <c r="M8" s="385" t="str">
        <f>VLOOKUP(Ridership[[#This Row],[Agency]],Assumptions!$B$35:$C$73, 2, FALSE)</f>
        <v>Small Urban</v>
      </c>
    </row>
    <row r="9" spans="1:13">
      <c r="A9" s="208" t="s">
        <v>31</v>
      </c>
      <c r="B9" s="219">
        <v>1445143</v>
      </c>
      <c r="C9" s="219">
        <v>1726724</v>
      </c>
      <c r="D9" s="220">
        <v>1970225</v>
      </c>
      <c r="E9" s="223">
        <v>2126888</v>
      </c>
      <c r="F9" s="384">
        <v>2252994</v>
      </c>
      <c r="G9" s="201" t="s">
        <v>222</v>
      </c>
      <c r="H9" s="23">
        <v>8</v>
      </c>
      <c r="I9" s="23">
        <v>9</v>
      </c>
      <c r="J9" s="385">
        <f>AVERAGE(OpCost[[#This Row],[FY23 Operating Cost Performance]:[FY25 Operating Cost Performance]])</f>
        <v>2116702.3333333335</v>
      </c>
      <c r="K9" s="385">
        <f>AVERAGE(OpCost[[#This Row],[FY22 Operating Cost Performance2]:[FY24 Operating Cost Performance]])</f>
        <v>1941279</v>
      </c>
      <c r="L9" s="385">
        <f>AVERAGE(OpCost[[#This Row],[FY21 Operating Cost Performance]:[FY23 Operating Cost Performance]])</f>
        <v>1714030.6666666667</v>
      </c>
      <c r="M9" s="385" t="str">
        <f>VLOOKUP(Ridership[[#This Row],[Agency]],Assumptions!$B$35:$C$73, 2, FALSE)</f>
        <v>Rural</v>
      </c>
    </row>
    <row r="10" spans="1:13">
      <c r="A10" s="208" t="s">
        <v>41</v>
      </c>
      <c r="B10" s="219">
        <v>150877</v>
      </c>
      <c r="C10" s="219">
        <v>167538</v>
      </c>
      <c r="D10" s="220">
        <v>195234</v>
      </c>
      <c r="E10" s="223">
        <v>225862</v>
      </c>
      <c r="F10" s="384">
        <v>214513</v>
      </c>
      <c r="G10" s="201" t="s">
        <v>222</v>
      </c>
      <c r="H10" s="23">
        <v>9</v>
      </c>
      <c r="I10" s="23">
        <v>19</v>
      </c>
      <c r="J10" s="385">
        <f>AVERAGE(OpCost[[#This Row],[FY23 Operating Cost Performance]:[FY25 Operating Cost Performance]])</f>
        <v>211869.66666666666</v>
      </c>
      <c r="K10" s="385">
        <f>AVERAGE(OpCost[[#This Row],[FY22 Operating Cost Performance2]:[FY24 Operating Cost Performance]])</f>
        <v>196211.33333333334</v>
      </c>
      <c r="L10" s="385">
        <f>AVERAGE(OpCost[[#This Row],[FY21 Operating Cost Performance]:[FY23 Operating Cost Performance]])</f>
        <v>171216.33333333334</v>
      </c>
      <c r="M10" s="385" t="str">
        <f>VLOOKUP(Ridership[[#This Row],[Agency]],Assumptions!$B$35:$C$73, 2, FALSE)</f>
        <v>Rural</v>
      </c>
    </row>
    <row r="11" spans="1:13">
      <c r="A11" s="208" t="s">
        <v>42</v>
      </c>
      <c r="B11" s="228">
        <v>104883123</v>
      </c>
      <c r="C11" s="228">
        <v>99766003</v>
      </c>
      <c r="D11" s="220">
        <v>120169392</v>
      </c>
      <c r="E11" s="223">
        <v>129442718</v>
      </c>
      <c r="F11" s="384">
        <v>153334791</v>
      </c>
      <c r="G11" s="201" t="s">
        <v>222</v>
      </c>
      <c r="H11" s="23">
        <v>10</v>
      </c>
      <c r="I11" s="23">
        <v>20</v>
      </c>
      <c r="J11" s="385">
        <f>AVERAGE(OpCost[[#This Row],[FY23 Operating Cost Performance]:[FY25 Operating Cost Performance]])</f>
        <v>134315633.66666666</v>
      </c>
      <c r="K11" s="385">
        <f>AVERAGE(OpCost[[#This Row],[FY22 Operating Cost Performance2]:[FY24 Operating Cost Performance]])</f>
        <v>116459371</v>
      </c>
      <c r="L11" s="385">
        <f>AVERAGE(OpCost[[#This Row],[FY21 Operating Cost Performance]:[FY23 Operating Cost Performance]])</f>
        <v>108272839.33333333</v>
      </c>
      <c r="M11" s="385" t="str">
        <f>VLOOKUP(Ridership[[#This Row],[Agency]],Assumptions!$B$35:$C$73, 2, FALSE)</f>
        <v>Large Urban</v>
      </c>
    </row>
    <row r="12" spans="1:13">
      <c r="A12" s="208" t="s">
        <v>53</v>
      </c>
      <c r="B12" s="219">
        <v>993897</v>
      </c>
      <c r="C12" s="219">
        <v>1200984</v>
      </c>
      <c r="D12" s="220">
        <v>1246809</v>
      </c>
      <c r="E12" s="223">
        <v>1347743</v>
      </c>
      <c r="F12" s="384">
        <v>1551122</v>
      </c>
      <c r="G12" s="201" t="s">
        <v>222</v>
      </c>
      <c r="H12" s="23">
        <v>11</v>
      </c>
      <c r="I12" s="23">
        <v>31</v>
      </c>
      <c r="J12" s="385">
        <f>AVERAGE(OpCost[[#This Row],[FY23 Operating Cost Performance]:[FY25 Operating Cost Performance]])</f>
        <v>1381891.3333333333</v>
      </c>
      <c r="K12" s="385">
        <f>AVERAGE(OpCost[[#This Row],[FY22 Operating Cost Performance2]:[FY24 Operating Cost Performance]])</f>
        <v>1265178.6666666667</v>
      </c>
      <c r="L12" s="385">
        <f>AVERAGE(OpCost[[#This Row],[FY21 Operating Cost Performance]:[FY23 Operating Cost Performance]])</f>
        <v>1147230</v>
      </c>
      <c r="M12" s="385" t="str">
        <f>VLOOKUP(Ridership[[#This Row],[Agency]],Assumptions!$B$35:$C$73, 2, FALSE)</f>
        <v>Rural</v>
      </c>
    </row>
    <row r="13" spans="1:13">
      <c r="A13" s="208" t="s">
        <v>59</v>
      </c>
      <c r="B13" s="219">
        <v>78491</v>
      </c>
      <c r="C13" s="219">
        <v>67079</v>
      </c>
      <c r="D13" s="220">
        <v>50424</v>
      </c>
      <c r="E13" s="223">
        <v>71294</v>
      </c>
      <c r="F13" s="384">
        <v>83950</v>
      </c>
      <c r="G13" s="201" t="s">
        <v>222</v>
      </c>
      <c r="H13" s="23">
        <v>12</v>
      </c>
      <c r="I13" s="23">
        <v>37</v>
      </c>
      <c r="J13" s="385">
        <f>AVERAGE(OpCost[[#This Row],[FY23 Operating Cost Performance]:[FY25 Operating Cost Performance]])</f>
        <v>68556</v>
      </c>
      <c r="K13" s="385">
        <f>AVERAGE(OpCost[[#This Row],[FY22 Operating Cost Performance2]:[FY24 Operating Cost Performance]])</f>
        <v>62932.333333333336</v>
      </c>
      <c r="L13" s="385">
        <f>AVERAGE(OpCost[[#This Row],[FY21 Operating Cost Performance]:[FY23 Operating Cost Performance]])</f>
        <v>65331.333333333336</v>
      </c>
      <c r="M13" s="385" t="str">
        <f>VLOOKUP(Ridership[[#This Row],[Agency]],Assumptions!$B$35:$C$73, 2, FALSE)</f>
        <v>Rural</v>
      </c>
    </row>
    <row r="14" spans="1:13">
      <c r="A14" s="208" t="s">
        <v>61</v>
      </c>
      <c r="B14" s="228">
        <v>7106671</v>
      </c>
      <c r="C14" s="228">
        <v>7464284</v>
      </c>
      <c r="D14" s="220">
        <v>7910674</v>
      </c>
      <c r="E14" s="223">
        <f>6690672+1079205</f>
        <v>7769877</v>
      </c>
      <c r="F14" s="384">
        <v>8890738</v>
      </c>
      <c r="G14" s="201" t="s">
        <v>222</v>
      </c>
      <c r="H14" s="23">
        <v>13</v>
      </c>
      <c r="I14" s="23">
        <v>39</v>
      </c>
      <c r="J14" s="385">
        <f>AVERAGE(OpCost[[#This Row],[FY23 Operating Cost Performance]:[FY25 Operating Cost Performance]])</f>
        <v>8190429.666666667</v>
      </c>
      <c r="K14" s="385">
        <f>AVERAGE(OpCost[[#This Row],[FY22 Operating Cost Performance2]:[FY24 Operating Cost Performance]])</f>
        <v>7714945</v>
      </c>
      <c r="L14" s="385">
        <f>AVERAGE(OpCost[[#This Row],[FY21 Operating Cost Performance]:[FY23 Operating Cost Performance]])</f>
        <v>7493876.333333333</v>
      </c>
      <c r="M14" s="385" t="str">
        <f>VLOOKUP(Ridership[[#This Row],[Agency]],Assumptions!$B$35:$C$73, 2, FALSE)</f>
        <v>Small Urban</v>
      </c>
    </row>
    <row r="15" spans="1:13">
      <c r="A15" s="208" t="s">
        <v>34</v>
      </c>
      <c r="B15" s="219">
        <v>2798006</v>
      </c>
      <c r="C15" s="219">
        <v>3169013</v>
      </c>
      <c r="D15" s="220">
        <v>3679008</v>
      </c>
      <c r="E15" s="223">
        <v>4067447</v>
      </c>
      <c r="F15" s="384">
        <v>4097893</v>
      </c>
      <c r="G15" s="201" t="s">
        <v>223</v>
      </c>
      <c r="H15" s="23">
        <v>14</v>
      </c>
      <c r="I15" s="23">
        <v>12</v>
      </c>
      <c r="J15" s="385">
        <f>AVERAGE(OpCost[[#This Row],[FY23 Operating Cost Performance]:[FY25 Operating Cost Performance]])</f>
        <v>3948116</v>
      </c>
      <c r="K15" s="385">
        <f>AVERAGE(OpCost[[#This Row],[FY22 Operating Cost Performance2]:[FY24 Operating Cost Performance]])</f>
        <v>3638489.3333333335</v>
      </c>
      <c r="L15" s="385">
        <f>AVERAGE(OpCost[[#This Row],[FY21 Operating Cost Performance]:[FY23 Operating Cost Performance]])</f>
        <v>3215342.3333333335</v>
      </c>
      <c r="M15" s="385" t="str">
        <f>VLOOKUP(Ridership[[#This Row],[Agency]],Assumptions!$B$35:$C$73, 2, FALSE)</f>
        <v>Rural</v>
      </c>
    </row>
    <row r="16" spans="1:13">
      <c r="A16" s="208" t="s">
        <v>36</v>
      </c>
      <c r="B16" s="219">
        <v>618607</v>
      </c>
      <c r="C16" s="219">
        <v>605988</v>
      </c>
      <c r="D16" s="220">
        <v>703038</v>
      </c>
      <c r="E16" s="388">
        <v>698366</v>
      </c>
      <c r="F16" s="384">
        <v>749264</v>
      </c>
      <c r="G16" s="201" t="s">
        <v>223</v>
      </c>
      <c r="H16" s="23">
        <v>15</v>
      </c>
      <c r="I16" s="23">
        <v>14</v>
      </c>
      <c r="J16" s="385">
        <f>AVERAGE(OpCost[[#This Row],[FY23 Operating Cost Performance]:[FY25 Operating Cost Performance]])</f>
        <v>716889.33333333337</v>
      </c>
      <c r="K16" s="385">
        <f>AVERAGE(OpCost[[#This Row],[FY22 Operating Cost Performance2]:[FY24 Operating Cost Performance]])</f>
        <v>669130.66666666663</v>
      </c>
      <c r="L16" s="385">
        <f>AVERAGE(OpCost[[#This Row],[FY21 Operating Cost Performance]:[FY23 Operating Cost Performance]])</f>
        <v>642544.33333333337</v>
      </c>
      <c r="M16" s="385" t="str">
        <f>VLOOKUP(Ridership[[#This Row],[Agency]],Assumptions!$B$35:$C$73, 2, FALSE)</f>
        <v>Rural</v>
      </c>
    </row>
    <row r="17" spans="1:13">
      <c r="A17" s="208" t="s">
        <v>38</v>
      </c>
      <c r="B17" s="219">
        <v>6699359</v>
      </c>
      <c r="C17" s="219">
        <v>7696112</v>
      </c>
      <c r="D17" s="220">
        <v>8675119</v>
      </c>
      <c r="E17" s="223">
        <v>9003000</v>
      </c>
      <c r="F17" s="384">
        <v>9104264</v>
      </c>
      <c r="G17" s="201" t="s">
        <v>223</v>
      </c>
      <c r="H17" s="23">
        <v>16</v>
      </c>
      <c r="I17" s="23">
        <v>16</v>
      </c>
      <c r="J17" s="385">
        <f>AVERAGE(OpCost[[#This Row],[FY23 Operating Cost Performance]:[FY25 Operating Cost Performance]])</f>
        <v>8927461</v>
      </c>
      <c r="K17" s="385">
        <f>AVERAGE(OpCost[[#This Row],[FY22 Operating Cost Performance2]:[FY24 Operating Cost Performance]])</f>
        <v>8458077</v>
      </c>
      <c r="L17" s="385">
        <f>AVERAGE(OpCost[[#This Row],[FY21 Operating Cost Performance]:[FY23 Operating Cost Performance]])</f>
        <v>7690196.666666667</v>
      </c>
      <c r="M17" s="385" t="str">
        <f>VLOOKUP(Ridership[[#This Row],[Agency]],Assumptions!$B$35:$C$73, 2, FALSE)</f>
        <v>Small Urban</v>
      </c>
    </row>
    <row r="18" spans="1:13">
      <c r="A18" s="208" t="s">
        <v>54</v>
      </c>
      <c r="B18" s="219">
        <v>115693</v>
      </c>
      <c r="C18" s="219">
        <v>107836</v>
      </c>
      <c r="D18" s="220">
        <v>177251</v>
      </c>
      <c r="E18" s="388">
        <v>165710</v>
      </c>
      <c r="F18" s="384">
        <v>176795</v>
      </c>
      <c r="G18" s="201" t="s">
        <v>223</v>
      </c>
      <c r="H18" s="23">
        <v>17</v>
      </c>
      <c r="I18" s="23">
        <v>32</v>
      </c>
      <c r="J18" s="385">
        <f>AVERAGE(OpCost[[#This Row],[FY23 Operating Cost Performance]:[FY25 Operating Cost Performance]])</f>
        <v>173252</v>
      </c>
      <c r="K18" s="385">
        <f>AVERAGE(OpCost[[#This Row],[FY22 Operating Cost Performance2]:[FY24 Operating Cost Performance]])</f>
        <v>150265.66666666666</v>
      </c>
      <c r="L18" s="385">
        <f>AVERAGE(OpCost[[#This Row],[FY21 Operating Cost Performance]:[FY23 Operating Cost Performance]])</f>
        <v>133593.33333333334</v>
      </c>
      <c r="M18" s="385" t="str">
        <f>VLOOKUP(Ridership[[#This Row],[Agency]],Assumptions!$B$35:$C$73, 2, FALSE)</f>
        <v>Rural</v>
      </c>
    </row>
    <row r="19" spans="1:13">
      <c r="A19" s="208" t="s">
        <v>33</v>
      </c>
      <c r="B19" s="219">
        <v>17358937</v>
      </c>
      <c r="C19" s="219">
        <v>15647246</v>
      </c>
      <c r="D19" s="220">
        <v>18874570</v>
      </c>
      <c r="E19" s="388">
        <v>25291520</v>
      </c>
      <c r="F19" s="384">
        <v>27572539</v>
      </c>
      <c r="G19" s="201" t="s">
        <v>224</v>
      </c>
      <c r="H19" s="23">
        <v>18</v>
      </c>
      <c r="I19" s="23">
        <v>11</v>
      </c>
      <c r="J19" s="385">
        <f>AVERAGE(OpCost[[#This Row],[FY23 Operating Cost Performance]:[FY25 Operating Cost Performance]])</f>
        <v>23912876.333333332</v>
      </c>
      <c r="K19" s="385">
        <f>AVERAGE(OpCost[[#This Row],[FY22 Operating Cost Performance2]:[FY24 Operating Cost Performance]])</f>
        <v>19937778.666666668</v>
      </c>
      <c r="L19" s="385">
        <f>AVERAGE(OpCost[[#This Row],[FY21 Operating Cost Performance]:[FY23 Operating Cost Performance]])</f>
        <v>17293584.333333332</v>
      </c>
      <c r="M19" s="385" t="str">
        <f>VLOOKUP(Ridership[[#This Row],[Agency]],Assumptions!$B$35:$C$73, 2, FALSE)</f>
        <v>Large Urban</v>
      </c>
    </row>
    <row r="20" spans="1:13">
      <c r="A20" s="208" t="s">
        <v>46</v>
      </c>
      <c r="B20" s="219">
        <v>20953458</v>
      </c>
      <c r="C20" s="219">
        <v>26239078</v>
      </c>
      <c r="D20" s="220">
        <v>23750125</v>
      </c>
      <c r="E20" s="388">
        <v>28281032</v>
      </c>
      <c r="F20" s="384">
        <v>27825334</v>
      </c>
      <c r="G20" s="201" t="s">
        <v>224</v>
      </c>
      <c r="H20" s="23">
        <v>19</v>
      </c>
      <c r="I20" s="23">
        <v>24</v>
      </c>
      <c r="J20" s="385">
        <f>AVERAGE(OpCost[[#This Row],[FY23 Operating Cost Performance]:[FY25 Operating Cost Performance]])</f>
        <v>26618830.333333332</v>
      </c>
      <c r="K20" s="385">
        <f>AVERAGE(OpCost[[#This Row],[FY22 Operating Cost Performance2]:[FY24 Operating Cost Performance]])</f>
        <v>26090078.333333332</v>
      </c>
      <c r="L20" s="385">
        <f>AVERAGE(OpCost[[#This Row],[FY21 Operating Cost Performance]:[FY23 Operating Cost Performance]])</f>
        <v>23647553.666666668</v>
      </c>
      <c r="M20" s="385" t="str">
        <f>VLOOKUP(Ridership[[#This Row],[Agency]],Assumptions!$B$35:$C$73, 2, FALSE)</f>
        <v>Large Urban</v>
      </c>
    </row>
    <row r="21" spans="1:13">
      <c r="A21" s="208" t="s">
        <v>47</v>
      </c>
      <c r="B21" s="219">
        <v>24099554</v>
      </c>
      <c r="C21" s="219">
        <v>27269531</v>
      </c>
      <c r="D21" s="220">
        <v>32028446</v>
      </c>
      <c r="E21" s="388">
        <v>36047232</v>
      </c>
      <c r="F21" s="384">
        <v>31465620</v>
      </c>
      <c r="G21" s="201" t="s">
        <v>224</v>
      </c>
      <c r="H21" s="23">
        <v>20</v>
      </c>
      <c r="I21" s="23">
        <v>25</v>
      </c>
      <c r="J21" s="385">
        <f>AVERAGE(OpCost[[#This Row],[FY23 Operating Cost Performance]:[FY25 Operating Cost Performance]])</f>
        <v>33180432.666666668</v>
      </c>
      <c r="K21" s="385">
        <f>AVERAGE(OpCost[[#This Row],[FY22 Operating Cost Performance2]:[FY24 Operating Cost Performance]])</f>
        <v>31781736.333333332</v>
      </c>
      <c r="L21" s="385">
        <f>AVERAGE(OpCost[[#This Row],[FY21 Operating Cost Performance]:[FY23 Operating Cost Performance]])</f>
        <v>27799177</v>
      </c>
      <c r="M21" s="385" t="str">
        <f>VLOOKUP(Ridership[[#This Row],[Agency]],Assumptions!$B$35:$C$73, 2, FALSE)</f>
        <v>Large Urban</v>
      </c>
    </row>
    <row r="22" spans="1:13">
      <c r="A22" s="208" t="s">
        <v>48</v>
      </c>
      <c r="B22" s="219">
        <v>4566109</v>
      </c>
      <c r="C22" s="219">
        <v>5346157</v>
      </c>
      <c r="D22" s="220">
        <v>5328325</v>
      </c>
      <c r="E22" s="388">
        <v>5453602</v>
      </c>
      <c r="F22" s="384">
        <v>5702607</v>
      </c>
      <c r="G22" s="201" t="s">
        <v>224</v>
      </c>
      <c r="H22" s="23">
        <v>21</v>
      </c>
      <c r="I22" s="23">
        <v>26</v>
      </c>
      <c r="J22" s="385">
        <f>AVERAGE(OpCost[[#This Row],[FY23 Operating Cost Performance]:[FY25 Operating Cost Performance]])</f>
        <v>5494844.666666667</v>
      </c>
      <c r="K22" s="385">
        <f>AVERAGE(OpCost[[#This Row],[FY22 Operating Cost Performance2]:[FY24 Operating Cost Performance]])</f>
        <v>5376028</v>
      </c>
      <c r="L22" s="385">
        <f>AVERAGE(OpCost[[#This Row],[FY21 Operating Cost Performance]:[FY23 Operating Cost Performance]])</f>
        <v>5080197</v>
      </c>
      <c r="M22" s="385" t="str">
        <f>VLOOKUP(Ridership[[#This Row],[Agency]],Assumptions!$B$35:$C$73, 2, FALSE)</f>
        <v>Large Urban</v>
      </c>
    </row>
    <row r="23" spans="1:13">
      <c r="A23" s="208" t="s">
        <v>49</v>
      </c>
      <c r="B23" s="219">
        <v>96368493</v>
      </c>
      <c r="C23" s="219">
        <v>103826125</v>
      </c>
      <c r="D23" s="220">
        <v>108453691</v>
      </c>
      <c r="E23" s="223">
        <v>111168383</v>
      </c>
      <c r="F23" s="384">
        <v>135419722</v>
      </c>
      <c r="G23" s="201" t="s">
        <v>224</v>
      </c>
      <c r="H23" s="23">
        <v>22</v>
      </c>
      <c r="I23" s="23">
        <v>27</v>
      </c>
      <c r="J23" s="385">
        <f>AVERAGE(OpCost[[#This Row],[FY23 Operating Cost Performance]:[FY25 Operating Cost Performance]])</f>
        <v>118347265.33333333</v>
      </c>
      <c r="K23" s="385">
        <f>AVERAGE(OpCost[[#This Row],[FY22 Operating Cost Performance2]:[FY24 Operating Cost Performance]])</f>
        <v>107816066.33333333</v>
      </c>
      <c r="L23" s="385">
        <f>AVERAGE(OpCost[[#This Row],[FY21 Operating Cost Performance]:[FY23 Operating Cost Performance]])</f>
        <v>102882769.66666667</v>
      </c>
      <c r="M23" s="385" t="str">
        <f>VLOOKUP(Ridership[[#This Row],[Agency]],Assumptions!$B$35:$C$73, 2, FALSE)</f>
        <v>Large Urban</v>
      </c>
    </row>
    <row r="24" spans="1:13">
      <c r="A24" s="208" t="s">
        <v>50</v>
      </c>
      <c r="B24" s="219">
        <v>36961071</v>
      </c>
      <c r="C24" s="219">
        <v>39737337</v>
      </c>
      <c r="D24" s="220">
        <v>45655907</v>
      </c>
      <c r="E24" s="223">
        <v>49463221</v>
      </c>
      <c r="F24" s="384">
        <v>56380235</v>
      </c>
      <c r="G24" s="201" t="s">
        <v>224</v>
      </c>
      <c r="H24" s="23">
        <v>23</v>
      </c>
      <c r="I24" s="23">
        <v>28</v>
      </c>
      <c r="J24" s="385">
        <f>AVERAGE(OpCost[[#This Row],[FY23 Operating Cost Performance]:[FY25 Operating Cost Performance]])</f>
        <v>50499787.666666664</v>
      </c>
      <c r="K24" s="385">
        <f>AVERAGE(OpCost[[#This Row],[FY22 Operating Cost Performance2]:[FY24 Operating Cost Performance]])</f>
        <v>44952155</v>
      </c>
      <c r="L24" s="385">
        <f>AVERAGE(OpCost[[#This Row],[FY21 Operating Cost Performance]:[FY23 Operating Cost Performance]])</f>
        <v>40784771.666666664</v>
      </c>
      <c r="M24" s="385" t="str">
        <f>VLOOKUP(Ridership[[#This Row],[Agency]],Assumptions!$B$35:$C$73, 2, FALSE)</f>
        <v>Large Urban</v>
      </c>
    </row>
    <row r="25" spans="1:13">
      <c r="A25" s="208" t="s">
        <v>29</v>
      </c>
      <c r="B25" s="219">
        <v>4655649</v>
      </c>
      <c r="C25" s="219">
        <v>4080556</v>
      </c>
      <c r="D25" s="220">
        <v>4736557</v>
      </c>
      <c r="E25" s="388">
        <v>3929042</v>
      </c>
      <c r="F25" s="384">
        <v>5582819</v>
      </c>
      <c r="G25" s="201" t="s">
        <v>225</v>
      </c>
      <c r="H25" s="23">
        <v>24</v>
      </c>
      <c r="I25" s="23">
        <v>7</v>
      </c>
      <c r="J25" s="385">
        <f>AVERAGE(OpCost[[#This Row],[FY23 Operating Cost Performance]:[FY25 Operating Cost Performance]])</f>
        <v>4749472.666666667</v>
      </c>
      <c r="K25" s="385">
        <f>AVERAGE(OpCost[[#This Row],[FY22 Operating Cost Performance2]:[FY24 Operating Cost Performance]])</f>
        <v>4248718.333333333</v>
      </c>
      <c r="L25" s="385">
        <f>AVERAGE(OpCost[[#This Row],[FY21 Operating Cost Performance]:[FY23 Operating Cost Performance]])</f>
        <v>4490920.666666667</v>
      </c>
      <c r="M25" s="385" t="str">
        <f>VLOOKUP(Ridership[[#This Row],[Agency]],Assumptions!$B$35:$C$73, 2, FALSE)</f>
        <v>Large Urban</v>
      </c>
    </row>
    <row r="26" spans="1:13">
      <c r="A26" s="208" t="s">
        <v>39</v>
      </c>
      <c r="B26" s="219">
        <v>64863638</v>
      </c>
      <c r="C26" s="219">
        <v>58367488</v>
      </c>
      <c r="D26" s="220">
        <v>68802962</v>
      </c>
      <c r="E26" s="223">
        <v>76532753</v>
      </c>
      <c r="F26" s="384">
        <v>83270105</v>
      </c>
      <c r="G26" s="201" t="s">
        <v>225</v>
      </c>
      <c r="H26" s="23">
        <v>25</v>
      </c>
      <c r="I26" s="23">
        <v>17</v>
      </c>
      <c r="J26" s="385">
        <f>AVERAGE(OpCost[[#This Row],[FY23 Operating Cost Performance]:[FY25 Operating Cost Performance]])</f>
        <v>76201940</v>
      </c>
      <c r="K26" s="385">
        <f>AVERAGE(OpCost[[#This Row],[FY22 Operating Cost Performance2]:[FY24 Operating Cost Performance]])</f>
        <v>67901067.666666672</v>
      </c>
      <c r="L26" s="385">
        <f>AVERAGE(OpCost[[#This Row],[FY21 Operating Cost Performance]:[FY23 Operating Cost Performance]])</f>
        <v>64011362.666666664</v>
      </c>
      <c r="M26" s="385" t="str">
        <f>VLOOKUP(Ridership[[#This Row],[Agency]],Assumptions!$B$35:$C$73, 2, FALSE)</f>
        <v>Large Urban</v>
      </c>
    </row>
    <row r="27" spans="1:13">
      <c r="A27" s="208" t="s">
        <v>55</v>
      </c>
      <c r="B27" s="219" t="s">
        <v>173</v>
      </c>
      <c r="C27" s="219">
        <v>0</v>
      </c>
      <c r="D27" s="220">
        <v>111562</v>
      </c>
      <c r="E27" s="223">
        <v>165644</v>
      </c>
      <c r="F27" s="384">
        <v>174101</v>
      </c>
      <c r="G27" s="201" t="s">
        <v>226</v>
      </c>
      <c r="H27" s="23">
        <v>26</v>
      </c>
      <c r="I27" s="23">
        <v>33</v>
      </c>
      <c r="J27" s="385">
        <f>AVERAGE(OpCost[[#This Row],[FY23 Operating Cost Performance]:[FY25 Operating Cost Performance]])</f>
        <v>150435.66666666666</v>
      </c>
      <c r="K27" s="385">
        <f>AVERAGE(OpCost[[#This Row],[FY22 Operating Cost Performance2]:[FY24 Operating Cost Performance]])</f>
        <v>92402</v>
      </c>
      <c r="L27" s="385">
        <f>AVERAGE(OpCost[[#This Row],[FY21 Operating Cost Performance]:[FY23 Operating Cost Performance]])</f>
        <v>55781</v>
      </c>
      <c r="M27" s="385" t="str">
        <f>VLOOKUP(Ridership[[#This Row],[Agency]],Assumptions!$B$35:$C$73, 2, FALSE)</f>
        <v>Rural</v>
      </c>
    </row>
    <row r="28" spans="1:13">
      <c r="A28" s="208" t="s">
        <v>56</v>
      </c>
      <c r="B28" s="219">
        <v>9918427</v>
      </c>
      <c r="C28" s="219">
        <v>10001495</v>
      </c>
      <c r="D28" s="220">
        <v>12020724</v>
      </c>
      <c r="E28" s="223">
        <v>12808994</v>
      </c>
      <c r="F28" s="384">
        <v>14038846</v>
      </c>
      <c r="G28" s="201" t="s">
        <v>226</v>
      </c>
      <c r="H28" s="23">
        <v>27</v>
      </c>
      <c r="I28" s="23">
        <v>34</v>
      </c>
      <c r="J28" s="385">
        <f>AVERAGE(OpCost[[#This Row],[FY23 Operating Cost Performance]:[FY25 Operating Cost Performance]])</f>
        <v>12956188</v>
      </c>
      <c r="K28" s="385">
        <f>AVERAGE(OpCost[[#This Row],[FY22 Operating Cost Performance2]:[FY24 Operating Cost Performance]])</f>
        <v>11610404.333333334</v>
      </c>
      <c r="L28" s="385">
        <f>AVERAGE(OpCost[[#This Row],[FY21 Operating Cost Performance]:[FY23 Operating Cost Performance]])</f>
        <v>10646882</v>
      </c>
      <c r="M28" s="385" t="str">
        <f>VLOOKUP(Ridership[[#This Row],[Agency]],Assumptions!$B$35:$C$73, 2, FALSE)</f>
        <v>Small Urban</v>
      </c>
    </row>
    <row r="29" spans="1:13">
      <c r="A29" s="208" t="s">
        <v>30</v>
      </c>
      <c r="B29" s="219">
        <v>1675170</v>
      </c>
      <c r="C29" s="219">
        <v>1758084</v>
      </c>
      <c r="D29" s="220">
        <v>2609867</v>
      </c>
      <c r="E29" s="223">
        <v>2846110</v>
      </c>
      <c r="F29" s="384">
        <v>2810399</v>
      </c>
      <c r="G29" s="201" t="s">
        <v>226</v>
      </c>
      <c r="H29" s="23">
        <v>28</v>
      </c>
      <c r="I29" s="23">
        <v>8</v>
      </c>
      <c r="J29" s="385">
        <f>AVERAGE(OpCost[[#This Row],[FY23 Operating Cost Performance]:[FY25 Operating Cost Performance]])</f>
        <v>2755458.6666666665</v>
      </c>
      <c r="K29" s="385">
        <f>AVERAGE(OpCost[[#This Row],[FY22 Operating Cost Performance2]:[FY24 Operating Cost Performance]])</f>
        <v>2404687</v>
      </c>
      <c r="L29" s="385">
        <f>AVERAGE(OpCost[[#This Row],[FY21 Operating Cost Performance]:[FY23 Operating Cost Performance]])</f>
        <v>2014373.6666666667</v>
      </c>
      <c r="M29" s="385" t="str">
        <f>VLOOKUP(Ridership[[#This Row],[Agency]],Assumptions!$B$35:$C$73, 2, FALSE)</f>
        <v>Rural</v>
      </c>
    </row>
    <row r="30" spans="1:13">
      <c r="A30" s="208" t="s">
        <v>40</v>
      </c>
      <c r="B30" s="219">
        <v>10417569</v>
      </c>
      <c r="C30" s="219">
        <v>10624308</v>
      </c>
      <c r="D30" s="389">
        <v>12745096</v>
      </c>
      <c r="E30" s="223">
        <f>12857237+1465494</f>
        <v>14322731</v>
      </c>
      <c r="F30" s="384">
        <v>11966953</v>
      </c>
      <c r="G30" s="201" t="s">
        <v>226</v>
      </c>
      <c r="H30" s="23">
        <v>29</v>
      </c>
      <c r="I30" s="23">
        <v>18</v>
      </c>
      <c r="J30" s="385">
        <f>AVERAGE(OpCost[[#This Row],[FY23 Operating Cost Performance]:[FY25 Operating Cost Performance]])</f>
        <v>13011593.333333334</v>
      </c>
      <c r="K30" s="385">
        <f>AVERAGE(OpCost[[#This Row],[FY22 Operating Cost Performance2]:[FY24 Operating Cost Performance]])</f>
        <v>12564045</v>
      </c>
      <c r="L30" s="385">
        <f>AVERAGE(OpCost[[#This Row],[FY21 Operating Cost Performance]:[FY23 Operating Cost Performance]])</f>
        <v>11262324.333333334</v>
      </c>
      <c r="M30" s="385" t="str">
        <f>VLOOKUP(Ridership[[#This Row],[Agency]],Assumptions!$B$35:$C$73, 2, FALSE)</f>
        <v>Large Urban</v>
      </c>
    </row>
    <row r="31" spans="1:13">
      <c r="A31" s="208" t="s">
        <v>51</v>
      </c>
      <c r="B31" s="219">
        <v>798818</v>
      </c>
      <c r="C31" s="219">
        <v>788081</v>
      </c>
      <c r="D31" s="220">
        <v>736481</v>
      </c>
      <c r="E31" s="388">
        <v>744369</v>
      </c>
      <c r="F31" s="384">
        <v>872107</v>
      </c>
      <c r="G31" s="201" t="s">
        <v>226</v>
      </c>
      <c r="H31" s="23">
        <v>30</v>
      </c>
      <c r="I31" s="23">
        <v>29</v>
      </c>
      <c r="J31" s="385">
        <f>AVERAGE(OpCost[[#This Row],[FY23 Operating Cost Performance]:[FY25 Operating Cost Performance]])</f>
        <v>784319</v>
      </c>
      <c r="K31" s="385">
        <f>AVERAGE(OpCost[[#This Row],[FY22 Operating Cost Performance2]:[FY24 Operating Cost Performance]])</f>
        <v>756310.33333333337</v>
      </c>
      <c r="L31" s="385">
        <f>AVERAGE(OpCost[[#This Row],[FY21 Operating Cost Performance]:[FY23 Operating Cost Performance]])</f>
        <v>774460</v>
      </c>
      <c r="M31" s="385" t="str">
        <f>VLOOKUP(Ridership[[#This Row],[Agency]],Assumptions!$B$35:$C$73, 2, FALSE)</f>
        <v>Rural</v>
      </c>
    </row>
    <row r="32" spans="1:13">
      <c r="A32" s="208" t="s">
        <v>25</v>
      </c>
      <c r="B32" s="219">
        <v>2288742</v>
      </c>
      <c r="C32" s="219">
        <v>2522688</v>
      </c>
      <c r="D32" s="220">
        <v>3047407</v>
      </c>
      <c r="E32" s="223">
        <f>2020842+1345880</f>
        <v>3366722</v>
      </c>
      <c r="F32" s="384">
        <v>3322249</v>
      </c>
      <c r="G32" s="201" t="s">
        <v>227</v>
      </c>
      <c r="H32" s="23">
        <v>31</v>
      </c>
      <c r="I32" s="23">
        <v>3</v>
      </c>
      <c r="J32" s="385">
        <f>AVERAGE(OpCost[[#This Row],[FY23 Operating Cost Performance]:[FY25 Operating Cost Performance]])</f>
        <v>3245459.3333333335</v>
      </c>
      <c r="K32" s="385">
        <f>AVERAGE(OpCost[[#This Row],[FY22 Operating Cost Performance2]:[FY24 Operating Cost Performance]])</f>
        <v>2978939</v>
      </c>
      <c r="L32" s="385">
        <f>AVERAGE(OpCost[[#This Row],[FY21 Operating Cost Performance]:[FY23 Operating Cost Performance]])</f>
        <v>2619612.3333333335</v>
      </c>
      <c r="M32" s="385" t="str">
        <f>VLOOKUP(Ridership[[#This Row],[Agency]],Assumptions!$B$35:$C$73, 2, FALSE)</f>
        <v>Small Urban</v>
      </c>
    </row>
    <row r="33" spans="1:13 16384:16384">
      <c r="A33" s="208" t="s">
        <v>28</v>
      </c>
      <c r="B33" s="219">
        <v>5921804</v>
      </c>
      <c r="C33" s="219">
        <v>5960670</v>
      </c>
      <c r="D33" s="220">
        <v>6578658</v>
      </c>
      <c r="E33" s="223">
        <v>7435602</v>
      </c>
      <c r="F33" s="384">
        <v>7574503</v>
      </c>
      <c r="G33" s="201" t="s">
        <v>227</v>
      </c>
      <c r="H33" s="23">
        <v>32</v>
      </c>
      <c r="I33" s="23">
        <v>6</v>
      </c>
      <c r="J33" s="385">
        <f>AVERAGE(OpCost[[#This Row],[FY23 Operating Cost Performance]:[FY25 Operating Cost Performance]])</f>
        <v>7196254.333333333</v>
      </c>
      <c r="K33" s="385">
        <f>AVERAGE(OpCost[[#This Row],[FY22 Operating Cost Performance2]:[FY24 Operating Cost Performance]])</f>
        <v>6658310</v>
      </c>
      <c r="L33" s="385">
        <f>AVERAGE(OpCost[[#This Row],[FY21 Operating Cost Performance]:[FY23 Operating Cost Performance]])</f>
        <v>6153710.666666667</v>
      </c>
      <c r="M33" s="385" t="str">
        <f>VLOOKUP(Ridership[[#This Row],[Agency]],Assumptions!$B$35:$C$73, 2, FALSE)</f>
        <v>Small Urban</v>
      </c>
    </row>
    <row r="34" spans="1:13 16384:16384">
      <c r="A34" s="208" t="s">
        <v>32</v>
      </c>
      <c r="B34" s="219">
        <v>1269764</v>
      </c>
      <c r="C34" s="219">
        <v>1423713</v>
      </c>
      <c r="D34" s="220">
        <v>1923269</v>
      </c>
      <c r="E34" s="223">
        <v>2380653</v>
      </c>
      <c r="F34" s="384">
        <v>2625519</v>
      </c>
      <c r="G34" s="201" t="s">
        <v>227</v>
      </c>
      <c r="H34" s="23">
        <v>33</v>
      </c>
      <c r="I34" s="23">
        <v>10</v>
      </c>
      <c r="J34" s="385">
        <f>AVERAGE(OpCost[[#This Row],[FY23 Operating Cost Performance]:[FY25 Operating Cost Performance]])</f>
        <v>2309813.6666666665</v>
      </c>
      <c r="K34" s="385">
        <f>AVERAGE(OpCost[[#This Row],[FY22 Operating Cost Performance2]:[FY24 Operating Cost Performance]])</f>
        <v>1909211.6666666667</v>
      </c>
      <c r="L34" s="385">
        <f>AVERAGE(OpCost[[#This Row],[FY21 Operating Cost Performance]:[FY23 Operating Cost Performance]])</f>
        <v>1538915.3333333333</v>
      </c>
      <c r="M34" s="385" t="str">
        <f>VLOOKUP(Ridership[[#This Row],[Agency]],Assumptions!$B$35:$C$73, 2, FALSE)</f>
        <v>Small Urban</v>
      </c>
    </row>
    <row r="35" spans="1:13 16384:16384">
      <c r="A35" s="208" t="s">
        <v>24</v>
      </c>
      <c r="B35" s="219">
        <v>3904286</v>
      </c>
      <c r="C35" s="219">
        <v>4637640</v>
      </c>
      <c r="D35" s="220">
        <v>5000804</v>
      </c>
      <c r="E35" s="223">
        <v>5803873</v>
      </c>
      <c r="F35" s="384">
        <v>5545950</v>
      </c>
      <c r="G35" s="201" t="s">
        <v>228</v>
      </c>
      <c r="H35" s="23">
        <v>34</v>
      </c>
      <c r="I35" s="23">
        <v>2</v>
      </c>
      <c r="J35" s="385">
        <f>AVERAGE(OpCost[[#This Row],[FY23 Operating Cost Performance]:[FY25 Operating Cost Performance]])</f>
        <v>5450209</v>
      </c>
      <c r="K35" s="385">
        <f>AVERAGE(OpCost[[#This Row],[FY22 Operating Cost Performance2]:[FY24 Operating Cost Performance]])</f>
        <v>5147439</v>
      </c>
      <c r="L35" s="385">
        <f>AVERAGE(OpCost[[#This Row],[FY21 Operating Cost Performance]:[FY23 Operating Cost Performance]])</f>
        <v>4514243.333333333</v>
      </c>
      <c r="M35" s="385" t="str">
        <f>VLOOKUP(Ridership[[#This Row],[Agency]],Assumptions!$B$35:$C$73, 2, FALSE)</f>
        <v>Rural</v>
      </c>
    </row>
    <row r="36" spans="1:13 16384:16384">
      <c r="A36" s="208" t="s">
        <v>57</v>
      </c>
      <c r="B36" s="219">
        <v>578833</v>
      </c>
      <c r="C36" s="219">
        <v>573381</v>
      </c>
      <c r="D36" s="220">
        <v>716454</v>
      </c>
      <c r="E36" s="388">
        <v>604843</v>
      </c>
      <c r="F36" s="384">
        <v>537911</v>
      </c>
      <c r="G36" s="201" t="s">
        <v>228</v>
      </c>
      <c r="H36" s="23">
        <v>35</v>
      </c>
      <c r="I36" s="23">
        <v>35</v>
      </c>
      <c r="J36" s="385">
        <f>AVERAGE(OpCost[[#This Row],[FY23 Operating Cost Performance]:[FY25 Operating Cost Performance]])</f>
        <v>619736</v>
      </c>
      <c r="K36" s="385">
        <f>AVERAGE(OpCost[[#This Row],[FY22 Operating Cost Performance2]:[FY24 Operating Cost Performance]])</f>
        <v>631559.33333333337</v>
      </c>
      <c r="L36" s="385">
        <f>AVERAGE(OpCost[[#This Row],[FY21 Operating Cost Performance]:[FY23 Operating Cost Performance]])</f>
        <v>622889.33333333337</v>
      </c>
      <c r="M36" s="385" t="str">
        <f>VLOOKUP(Ridership[[#This Row],[Agency]],Assumptions!$B$35:$C$73, 2, FALSE)</f>
        <v>Rural</v>
      </c>
    </row>
    <row r="37" spans="1:13 16384:16384">
      <c r="A37" s="208" t="s">
        <v>43</v>
      </c>
      <c r="B37" s="228">
        <v>4682469</v>
      </c>
      <c r="C37" s="228">
        <f>7674872-3756448</f>
        <v>3918424</v>
      </c>
      <c r="D37" s="229">
        <f>8616129-4264004</f>
        <v>4352125</v>
      </c>
      <c r="E37" s="223">
        <v>5022923</v>
      </c>
      <c r="F37" s="384">
        <v>5142066</v>
      </c>
      <c r="G37" s="201" t="s">
        <v>228</v>
      </c>
      <c r="H37" s="23">
        <v>36</v>
      </c>
      <c r="I37" s="23">
        <v>21</v>
      </c>
      <c r="J37" s="385">
        <f>AVERAGE(OpCost[[#This Row],[FY23 Operating Cost Performance]:[FY25 Operating Cost Performance]])</f>
        <v>4839038</v>
      </c>
      <c r="K37" s="385">
        <f>AVERAGE(OpCost[[#This Row],[FY22 Operating Cost Performance2]:[FY24 Operating Cost Performance]])</f>
        <v>4431157.333333333</v>
      </c>
      <c r="L37" s="385">
        <f>AVERAGE(OpCost[[#This Row],[FY21 Operating Cost Performance]:[FY23 Operating Cost Performance]])</f>
        <v>4317672.666666667</v>
      </c>
      <c r="M37" s="385" t="str">
        <f>VLOOKUP(Ridership[[#This Row],[Agency]],Assumptions!$B$35:$C$73, 2, FALSE)</f>
        <v>Rural</v>
      </c>
    </row>
    <row r="38" spans="1:13 16384:16384">
      <c r="A38" s="208" t="s">
        <v>44</v>
      </c>
      <c r="B38" s="219">
        <v>146394</v>
      </c>
      <c r="C38" s="219">
        <v>162010</v>
      </c>
      <c r="D38" s="220">
        <v>170603</v>
      </c>
      <c r="E38" s="223">
        <v>457239</v>
      </c>
      <c r="F38" s="384">
        <v>705021</v>
      </c>
      <c r="G38" s="201" t="s">
        <v>228</v>
      </c>
      <c r="H38" s="23">
        <v>37</v>
      </c>
      <c r="I38" s="23">
        <v>22</v>
      </c>
      <c r="J38" s="385">
        <f>AVERAGE(OpCost[[#This Row],[FY23 Operating Cost Performance]:[FY25 Operating Cost Performance]])</f>
        <v>444287.66666666669</v>
      </c>
      <c r="K38" s="385">
        <f>AVERAGE(OpCost[[#This Row],[FY22 Operating Cost Performance2]:[FY24 Operating Cost Performance]])</f>
        <v>263284</v>
      </c>
      <c r="L38" s="385">
        <f>AVERAGE(OpCost[[#This Row],[FY21 Operating Cost Performance]:[FY23 Operating Cost Performance]])</f>
        <v>159669</v>
      </c>
      <c r="M38" s="385" t="str">
        <f>VLOOKUP(Ridership[[#This Row],[Agency]],Assumptions!$B$35:$C$73, 2, FALSE)</f>
        <v>Rural</v>
      </c>
    </row>
    <row r="39" spans="1:13 16384:16384">
      <c r="A39" s="208" t="s">
        <v>52</v>
      </c>
      <c r="B39" s="219">
        <v>1217295</v>
      </c>
      <c r="C39" s="219">
        <v>1442390</v>
      </c>
      <c r="D39" s="220">
        <v>1347958</v>
      </c>
      <c r="E39" s="388">
        <v>1220651</v>
      </c>
      <c r="F39" s="384">
        <v>1208220</v>
      </c>
      <c r="G39" s="201" t="s">
        <v>228</v>
      </c>
      <c r="H39" s="23">
        <v>38</v>
      </c>
      <c r="I39" s="23">
        <v>30</v>
      </c>
      <c r="J39" s="385">
        <f>AVERAGE(OpCost[[#This Row],[FY23 Operating Cost Performance]:[FY25 Operating Cost Performance]])</f>
        <v>1258943</v>
      </c>
      <c r="K39" s="385">
        <f>AVERAGE(OpCost[[#This Row],[FY22 Operating Cost Performance2]:[FY24 Operating Cost Performance]])</f>
        <v>1336999.6666666667</v>
      </c>
      <c r="L39" s="385">
        <f>AVERAGE(OpCost[[#This Row],[FY21 Operating Cost Performance]:[FY23 Operating Cost Performance]])</f>
        <v>1335881</v>
      </c>
      <c r="M39" s="385" t="str">
        <f>VLOOKUP(Ridership[[#This Row],[Agency]],Assumptions!$B$35:$C$73, 2, FALSE)</f>
        <v>Rural</v>
      </c>
    </row>
    <row r="40" spans="1:13 16384:16384">
      <c r="A40" s="208" t="s">
        <v>60</v>
      </c>
      <c r="B40" s="219">
        <v>3325310</v>
      </c>
      <c r="C40" s="219">
        <v>4022350</v>
      </c>
      <c r="D40" s="220">
        <v>4658904</v>
      </c>
      <c r="E40" s="223">
        <v>4896193</v>
      </c>
      <c r="F40" s="384">
        <v>5119725</v>
      </c>
      <c r="G40" s="201" t="s">
        <v>228</v>
      </c>
      <c r="H40" s="23">
        <v>39</v>
      </c>
      <c r="I40" s="23">
        <v>38</v>
      </c>
      <c r="J40" s="385">
        <f>AVERAGE(OpCost[[#This Row],[FY23 Operating Cost Performance]:[FY25 Operating Cost Performance]])</f>
        <v>4891607.333333333</v>
      </c>
      <c r="K40" s="385">
        <f>AVERAGE(OpCost[[#This Row],[FY22 Operating Cost Performance2]:[FY24 Operating Cost Performance]])</f>
        <v>4525815.666666667</v>
      </c>
      <c r="L40" s="385">
        <f>AVERAGE(OpCost[[#This Row],[FY21 Operating Cost Performance]:[FY23 Operating Cost Performance]])</f>
        <v>4002188</v>
      </c>
      <c r="M40" s="385" t="str">
        <f>VLOOKUP(Ridership[[#This Row],[Agency]],Assumptions!$B$35:$C$73, 2, FALSE)</f>
        <v>Rural</v>
      </c>
    </row>
    <row r="41" spans="1:13 16384:16384">
      <c r="A41" s="208" t="s">
        <v>229</v>
      </c>
      <c r="B41" s="390">
        <f>SUM(B2:B40)</f>
        <v>464306058</v>
      </c>
      <c r="C41" s="390">
        <f>SUM(C2:C40)</f>
        <v>475837705</v>
      </c>
      <c r="D41" s="221">
        <f>SUM(D2:D40)</f>
        <v>535957762</v>
      </c>
      <c r="E41" s="222">
        <f>SUM(E2:E40)</f>
        <v>581427512</v>
      </c>
      <c r="F41" s="222">
        <f>SUM(F2:F40)</f>
        <v>648731914</v>
      </c>
      <c r="G41" s="217" t="s">
        <v>173</v>
      </c>
      <c r="H41" s="26" t="s">
        <v>173</v>
      </c>
      <c r="I41" s="218" t="s">
        <v>173</v>
      </c>
    </row>
    <row r="42" spans="1:13 16384:16384">
      <c r="A42" s="19" t="s">
        <v>7</v>
      </c>
      <c r="B42" s="19"/>
      <c r="C42" s="20"/>
      <c r="D42" s="21"/>
      <c r="E42" s="22"/>
      <c r="F42" s="19"/>
      <c r="G42" s="19"/>
      <c r="H42" s="19"/>
      <c r="I42" s="165"/>
      <c r="J42" s="908">
        <f>SUMIF(OpCost[Agency Type], $A42, OpCost[3-Year Average FY27])</f>
        <v>486332676.66666669</v>
      </c>
      <c r="K42" s="908">
        <f>SUMIF(OpCost[Agency Type], $A42, OpCost[3-Year Average FY26])</f>
        <v>437127044.66666669</v>
      </c>
      <c r="L42" s="908">
        <f>SUMIF(OpCost[Agency Type], $A42, OpCost[3-Year Average FY25])</f>
        <v>405525500.33333337</v>
      </c>
      <c r="XFD42" s="230" t="e">
        <f>(XFD41-XFC41)/XFC41</f>
        <v>#DIV/0!</v>
      </c>
    </row>
    <row r="43" spans="1:13 16384:16384">
      <c r="A43" s="19" t="s">
        <v>8</v>
      </c>
      <c r="B43" s="19"/>
      <c r="C43" s="22"/>
      <c r="D43" s="22"/>
      <c r="E43" s="22"/>
      <c r="F43" s="19"/>
      <c r="G43" s="19"/>
      <c r="H43" s="19"/>
      <c r="I43" s="165"/>
      <c r="J43" s="908">
        <f>SUMIF(OpCost[Agency Type], $A43, OpCost[3-Year Average FY27])</f>
        <v>64506390.666666664</v>
      </c>
      <c r="K43" s="908">
        <f>SUMIF(OpCost[Agency Type], $A43, OpCost[3-Year Average FY26])</f>
        <v>58587871.666666664</v>
      </c>
      <c r="L43" s="908">
        <f>SUMIF(OpCost[Agency Type], $A43, OpCost[3-Year Average FY25])</f>
        <v>54460563</v>
      </c>
    </row>
    <row r="44" spans="1:13 16384:16384">
      <c r="A44" s="19" t="s">
        <v>9</v>
      </c>
      <c r="B44" s="19"/>
      <c r="C44" s="22"/>
      <c r="D44" s="22"/>
      <c r="E44" s="22"/>
      <c r="F44" s="19"/>
      <c r="G44" s="19"/>
      <c r="H44" s="19"/>
      <c r="I44" s="165"/>
      <c r="J44" s="908">
        <f>SUMIF(OpCost[Agency Type], $A44, OpCost[3-Year Average FY27])</f>
        <v>37866662</v>
      </c>
      <c r="K44" s="908">
        <f>SUMIF(OpCost[Agency Type], $A44, OpCost[3-Year Average FY26])</f>
        <v>35359410</v>
      </c>
      <c r="L44" s="908">
        <f>SUMIF(OpCost[Agency Type], $A44, OpCost[3-Year Average FY25])</f>
        <v>32066372</v>
      </c>
    </row>
  </sheetData>
  <conditionalFormatting sqref="M2">
    <cfRule type="cellIs" dxfId="16" priority="1" operator="lessThan">
      <formula>0</formula>
    </cfRule>
  </conditionalFormatting>
  <pageMargins left="0.25" right="0.25" top="0.75" bottom="0.75" header="0.3" footer="0.3"/>
  <pageSetup scale="78" orientation="portrait" r:id="rId1"/>
  <legacy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AA6D-80C9-4385-B026-9D6CF3957C31}">
  <sheetPr>
    <pageSetUpPr fitToPage="1"/>
  </sheetPr>
  <dimension ref="A1:CP55"/>
  <sheetViews>
    <sheetView zoomScale="90" zoomScaleNormal="90" workbookViewId="0">
      <pane xSplit="2" topLeftCell="C1" activePane="topRight" state="frozen"/>
      <selection activeCell="F1" sqref="A1:F1048576"/>
      <selection pane="topRight" activeCell="F1" sqref="A1:F1048576"/>
    </sheetView>
  </sheetViews>
  <sheetFormatPr defaultColWidth="9.28515625" defaultRowHeight="14.25"/>
  <cols>
    <col min="1" max="1" width="21.28515625" style="6" customWidth="1"/>
    <col min="2" max="2" width="49.42578125" style="1" bestFit="1" customWidth="1"/>
    <col min="3" max="3" width="5.85546875" style="1" customWidth="1"/>
    <col min="4" max="4" width="21.28515625" style="1" customWidth="1"/>
    <col min="5" max="5" width="17.42578125" style="1" customWidth="1"/>
    <col min="6" max="6" width="14.28515625" style="1" customWidth="1"/>
    <col min="7" max="7" width="13.5703125" style="1" customWidth="1"/>
    <col min="8" max="8" width="16.28515625" style="1" customWidth="1"/>
    <col min="9" max="9" width="17.42578125" style="2" customWidth="1"/>
    <col min="10" max="10" width="8" style="1" customWidth="1"/>
    <col min="11" max="11" width="8.7109375" style="1" customWidth="1"/>
    <col min="12" max="12" width="11.5703125" style="1" customWidth="1"/>
    <col min="13" max="14" width="8.7109375" style="1" customWidth="1"/>
    <col min="15" max="17" width="15.7109375" style="1" customWidth="1"/>
    <col min="18" max="21" width="8.7109375" style="1" customWidth="1"/>
    <col min="22" max="23" width="15.7109375" style="1" customWidth="1"/>
    <col min="24" max="24" width="15.7109375" style="3" customWidth="1"/>
    <col min="25" max="28" width="10.7109375" style="1" customWidth="1"/>
    <col min="29" max="30" width="15.7109375" style="1" customWidth="1"/>
    <col min="31" max="31" width="15.7109375" style="3" customWidth="1"/>
    <col min="32" max="35" width="8.7109375" style="1" customWidth="1"/>
    <col min="36" max="37" width="15.7109375" style="1" customWidth="1"/>
    <col min="38" max="38" width="15.7109375" style="3" customWidth="1"/>
    <col min="39" max="41" width="8.7109375" style="1" customWidth="1"/>
    <col min="42" max="42" width="9.28515625" style="1" customWidth="1"/>
    <col min="43" max="44" width="15.7109375" style="1" customWidth="1"/>
    <col min="45" max="45" width="15.7109375" style="3" customWidth="1"/>
    <col min="46" max="46" width="9.28515625" style="1" customWidth="1"/>
    <col min="47" max="51" width="17.7109375" style="1" customWidth="1"/>
    <col min="52" max="52" width="9.28515625" style="1" customWidth="1"/>
    <col min="53" max="53" width="20.28515625" style="1" customWidth="1"/>
    <col min="54" max="58" width="17.7109375" style="1" customWidth="1"/>
    <col min="59" max="59" width="14.28515625" style="1" bestFit="1" customWidth="1"/>
    <col min="60" max="60" width="15.7109375" style="4" customWidth="1"/>
    <col min="61" max="61" width="18.5703125" style="1" customWidth="1"/>
    <col min="62" max="62" width="24.28515625" style="1" customWidth="1"/>
    <col min="63" max="63" width="24.85546875" style="1" customWidth="1"/>
    <col min="64" max="64" width="9.28515625" style="1" customWidth="1"/>
    <col min="65" max="66" width="21.7109375" style="1" customWidth="1"/>
    <col min="67" max="67" width="18.42578125" style="1" customWidth="1"/>
    <col min="68" max="68" width="18.42578125" style="5" customWidth="1"/>
    <col min="69" max="69" width="20.5703125" style="5" customWidth="1"/>
    <col min="70" max="70" width="22.42578125" style="1" customWidth="1"/>
    <col min="71" max="71" width="12.42578125" style="1" customWidth="1"/>
    <col min="72" max="72" width="16.85546875" style="1" customWidth="1"/>
    <col min="73" max="73" width="15.140625" style="1" customWidth="1"/>
    <col min="74" max="74" width="18.28515625" style="1" customWidth="1"/>
    <col min="75" max="75" width="15.85546875" style="1" customWidth="1"/>
    <col min="76" max="76" width="5.28515625" style="1" customWidth="1"/>
    <col min="77" max="78" width="21.7109375" style="1" customWidth="1"/>
    <col min="79" max="79" width="18.42578125" style="1" customWidth="1"/>
    <col min="80" max="80" width="18.42578125" style="5" customWidth="1"/>
    <col min="81" max="81" width="19.140625" style="43" customWidth="1"/>
    <col min="82" max="82" width="18" style="45" customWidth="1"/>
    <col min="83" max="83" width="5.5703125" style="45" customWidth="1"/>
    <col min="84" max="84" width="22.42578125" style="1" customWidth="1"/>
    <col min="85" max="85" width="17.5703125" style="1" customWidth="1"/>
    <col min="86" max="86" width="21.28515625" style="1" customWidth="1"/>
    <col min="87" max="87" width="17.28515625" style="1" customWidth="1"/>
    <col min="88" max="88" width="23.42578125" style="1" customWidth="1"/>
    <col min="89" max="89" width="13" style="1" customWidth="1"/>
    <col min="90" max="90" width="17.42578125" style="1" customWidth="1"/>
    <col min="91" max="91" width="15.85546875" style="1" customWidth="1"/>
    <col min="92" max="92" width="19.28515625" style="1" bestFit="1" customWidth="1"/>
    <col min="93" max="93" width="16.5703125" style="1" customWidth="1"/>
    <col min="94" max="94" width="14.85546875" style="1" bestFit="1" customWidth="1"/>
    <col min="95" max="16384" width="9.28515625" style="1"/>
  </cols>
  <sheetData>
    <row r="1" spans="1:94" s="74" customFormat="1" ht="20.25">
      <c r="A1" s="109" t="s">
        <v>240</v>
      </c>
      <c r="D1" s="75"/>
      <c r="G1" s="76"/>
      <c r="I1" s="77"/>
      <c r="X1" s="78"/>
      <c r="AE1" s="78"/>
      <c r="AL1" s="78"/>
      <c r="AS1" s="78"/>
      <c r="BH1" s="79"/>
      <c r="BM1" s="80"/>
      <c r="BP1" s="81"/>
      <c r="BQ1" s="81"/>
      <c r="BZ1" s="80"/>
      <c r="CA1" s="80"/>
      <c r="CB1" s="80"/>
      <c r="CC1" s="95"/>
      <c r="CD1" s="96"/>
      <c r="CE1" s="96"/>
      <c r="CG1" s="95"/>
      <c r="CH1" s="95"/>
      <c r="CI1" s="95"/>
    </row>
    <row r="2" spans="1:94" ht="15" customHeight="1">
      <c r="B2" s="7"/>
      <c r="C2" s="7"/>
      <c r="D2" s="73"/>
      <c r="E2" s="8"/>
      <c r="F2" s="6"/>
      <c r="G2" s="72"/>
      <c r="I2" s="9"/>
      <c r="M2" s="10"/>
      <c r="O2" s="11"/>
      <c r="P2" s="11"/>
      <c r="S2" s="10"/>
      <c r="Z2" s="10"/>
      <c r="AG2" s="10"/>
      <c r="AN2" s="10"/>
      <c r="CC2" s="84"/>
      <c r="CD2" s="95"/>
      <c r="CE2" s="95"/>
      <c r="CF2" s="95"/>
      <c r="CG2" s="95"/>
      <c r="CH2" s="95"/>
      <c r="CI2" s="95"/>
    </row>
    <row r="3" spans="1:94" s="84" customFormat="1" ht="15" customHeight="1">
      <c r="B3" s="85"/>
      <c r="C3" s="85"/>
      <c r="D3" s="1175" t="s">
        <v>241</v>
      </c>
      <c r="E3" s="1175"/>
      <c r="F3" s="1175"/>
      <c r="G3" s="1175"/>
      <c r="H3" s="1175"/>
      <c r="I3" s="1175"/>
      <c r="K3" s="1175" t="s">
        <v>242</v>
      </c>
      <c r="L3" s="1175"/>
      <c r="M3" s="1175"/>
      <c r="N3" s="1175"/>
      <c r="O3" s="1175"/>
      <c r="P3" s="1175"/>
      <c r="Q3" s="1175"/>
      <c r="R3" s="1175"/>
      <c r="S3" s="1175"/>
      <c r="T3" s="1175"/>
      <c r="U3" s="1175"/>
      <c r="V3" s="1175"/>
      <c r="W3" s="1175"/>
      <c r="X3" s="1175"/>
      <c r="Y3" s="1175"/>
      <c r="Z3" s="1175"/>
      <c r="AA3" s="1175"/>
      <c r="AB3" s="1175"/>
      <c r="AC3" s="1175"/>
      <c r="AD3" s="1175"/>
      <c r="AE3" s="1175"/>
      <c r="AF3" s="1175"/>
      <c r="AG3" s="1175"/>
      <c r="AH3" s="1175"/>
      <c r="AI3" s="1175"/>
      <c r="AJ3" s="1175"/>
      <c r="AK3" s="1175"/>
      <c r="AL3" s="1175"/>
      <c r="AM3" s="1175"/>
      <c r="AN3" s="1175"/>
      <c r="AO3" s="1175"/>
      <c r="AP3" s="1175"/>
      <c r="AQ3" s="1175"/>
      <c r="AR3" s="1175"/>
      <c r="AS3" s="1175"/>
      <c r="AU3" s="1175" t="s">
        <v>243</v>
      </c>
      <c r="AV3" s="1175"/>
      <c r="AW3" s="1175"/>
      <c r="AX3" s="1175"/>
      <c r="AY3" s="1175"/>
      <c r="AZ3" s="85"/>
      <c r="BA3" s="1175" t="s">
        <v>244</v>
      </c>
      <c r="BB3" s="1175"/>
      <c r="BC3" s="1175"/>
      <c r="BD3" s="1175"/>
      <c r="BE3" s="1175"/>
      <c r="BF3" s="1175"/>
      <c r="BH3" s="1175" t="s">
        <v>245</v>
      </c>
      <c r="BI3" s="1175"/>
      <c r="BJ3" s="1175"/>
      <c r="BK3" s="1175"/>
      <c r="BL3" s="1175"/>
      <c r="BM3" s="1175"/>
      <c r="BN3" s="1175"/>
      <c r="BO3" s="1175"/>
      <c r="BP3" s="1175"/>
      <c r="BQ3" s="1175"/>
      <c r="BR3" s="1175"/>
      <c r="BT3" s="1175" t="s">
        <v>246</v>
      </c>
      <c r="BU3" s="1175"/>
      <c r="BV3" s="1175"/>
      <c r="BW3" s="1175"/>
      <c r="BX3" s="1175"/>
      <c r="BY3" s="1175"/>
      <c r="BZ3" s="1175"/>
      <c r="CA3" s="1175"/>
      <c r="CB3" s="1175"/>
      <c r="CC3" s="1175"/>
      <c r="CD3" s="1175"/>
      <c r="CE3" s="94"/>
      <c r="CF3" s="1175" t="s">
        <v>247</v>
      </c>
      <c r="CG3" s="1175"/>
      <c r="CH3" s="1175"/>
      <c r="CI3" s="1175"/>
      <c r="CJ3" s="85"/>
    </row>
    <row r="4" spans="1:94" s="84" customFormat="1" ht="15" customHeight="1">
      <c r="B4" s="85"/>
      <c r="C4" s="85"/>
      <c r="D4" s="86"/>
      <c r="E4" s="86"/>
      <c r="F4" s="86"/>
      <c r="G4" s="86"/>
      <c r="H4" s="86"/>
      <c r="I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U4" s="86"/>
      <c r="AV4" s="86"/>
      <c r="AW4" s="86"/>
      <c r="AX4" s="86"/>
      <c r="AY4" s="86"/>
      <c r="AZ4" s="85"/>
      <c r="BA4" s="86"/>
      <c r="BB4" s="86"/>
      <c r="BC4" s="86"/>
      <c r="BD4" s="86"/>
      <c r="BE4" s="86"/>
      <c r="BF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CB4" s="87"/>
      <c r="CC4" s="94"/>
      <c r="CD4" s="94"/>
      <c r="CE4" s="94"/>
      <c r="CF4" s="94"/>
      <c r="CG4" s="94"/>
      <c r="CH4" s="94"/>
      <c r="CI4" s="94"/>
    </row>
    <row r="5" spans="1:94" ht="15" customHeight="1">
      <c r="B5" s="7"/>
      <c r="C5" s="7"/>
      <c r="D5" s="88" t="s">
        <v>248</v>
      </c>
      <c r="E5" s="8"/>
      <c r="F5" s="6"/>
      <c r="G5" s="72"/>
      <c r="I5" s="9"/>
      <c r="M5" s="10"/>
      <c r="O5" s="11"/>
      <c r="P5" s="11"/>
      <c r="S5" s="10"/>
      <c r="Z5" s="10"/>
      <c r="AG5" s="10"/>
      <c r="AN5" s="10"/>
      <c r="AU5" s="1182" t="s">
        <v>249</v>
      </c>
      <c r="AV5" s="1183"/>
      <c r="AW5" s="1183"/>
      <c r="AX5" s="1183"/>
      <c r="AY5" s="1184"/>
      <c r="BA5" s="167" t="s">
        <v>250</v>
      </c>
      <c r="BJ5" s="167" t="s">
        <v>251</v>
      </c>
      <c r="BM5" s="167" t="s">
        <v>252</v>
      </c>
      <c r="BZ5" s="167" t="s">
        <v>253</v>
      </c>
      <c r="CC5" s="47"/>
      <c r="CD5" s="47"/>
      <c r="CE5" s="47"/>
      <c r="CF5" s="47"/>
      <c r="CG5" s="47"/>
      <c r="CH5" s="47"/>
      <c r="CI5" s="47"/>
    </row>
    <row r="6" spans="1:94">
      <c r="B6" s="12"/>
      <c r="C6" s="12"/>
      <c r="D6" s="168">
        <v>0.5</v>
      </c>
      <c r="E6" s="168">
        <v>0.3</v>
      </c>
      <c r="F6" s="168">
        <v>0.1</v>
      </c>
      <c r="G6" s="168">
        <v>0.1</v>
      </c>
      <c r="I6" s="9"/>
      <c r="M6" s="10"/>
      <c r="O6" s="11"/>
      <c r="P6" s="11"/>
      <c r="S6" s="10"/>
      <c r="Z6" s="10"/>
      <c r="AG6" s="10"/>
      <c r="AN6" s="10"/>
      <c r="AU6" s="169">
        <v>0.2</v>
      </c>
      <c r="AV6" s="169">
        <v>0.2</v>
      </c>
      <c r="AW6" s="169">
        <v>0.2</v>
      </c>
      <c r="AX6" s="169">
        <v>0.2</v>
      </c>
      <c r="AY6" s="169">
        <v>0.2</v>
      </c>
      <c r="AZ6" s="13"/>
      <c r="BA6" s="170">
        <v>138800188</v>
      </c>
      <c r="BB6" s="1" t="s">
        <v>254</v>
      </c>
      <c r="BJ6" s="171">
        <v>0.3</v>
      </c>
      <c r="BM6" s="172">
        <f>$BK$51</f>
        <v>1636832.8396130679</v>
      </c>
      <c r="BZ6" s="172">
        <f>BW51</f>
        <v>0</v>
      </c>
      <c r="CC6" s="47"/>
      <c r="CD6" s="47"/>
      <c r="CE6" s="47"/>
      <c r="CF6" s="47"/>
      <c r="CG6" s="47"/>
      <c r="CH6" s="47"/>
      <c r="CI6" s="47"/>
    </row>
    <row r="7" spans="1:94">
      <c r="B7" s="12"/>
      <c r="C7" s="12"/>
      <c r="D7" s="89"/>
      <c r="E7" s="89"/>
      <c r="F7" s="89"/>
      <c r="G7" s="89"/>
      <c r="I7" s="9"/>
      <c r="M7" s="10"/>
      <c r="O7" s="11"/>
      <c r="P7" s="11"/>
      <c r="S7" s="10"/>
      <c r="Z7" s="10"/>
      <c r="AG7" s="10"/>
      <c r="AN7" s="10"/>
      <c r="AU7" s="90"/>
      <c r="AV7" s="90"/>
      <c r="AW7" s="90"/>
      <c r="AX7" s="90"/>
      <c r="AY7" s="90"/>
      <c r="AZ7" s="13"/>
      <c r="BA7" s="91"/>
      <c r="BJ7" s="92"/>
      <c r="BM7" s="93"/>
      <c r="BZ7" s="93"/>
      <c r="CC7" s="47"/>
      <c r="CD7" s="47"/>
      <c r="CE7" s="47"/>
      <c r="CF7" s="47"/>
      <c r="CG7" s="47"/>
      <c r="CH7" s="47"/>
      <c r="CI7" s="47"/>
    </row>
    <row r="8" spans="1:94" ht="15" customHeight="1" thickBot="1">
      <c r="A8" s="1"/>
      <c r="D8" s="14" t="s">
        <v>255</v>
      </c>
      <c r="I8" s="108" t="s">
        <v>256</v>
      </c>
      <c r="K8" s="14" t="s">
        <v>257</v>
      </c>
      <c r="BY8" s="107"/>
      <c r="CC8" s="47"/>
      <c r="CD8" s="47"/>
      <c r="CE8" s="47"/>
      <c r="CF8" s="47"/>
      <c r="CG8" s="47"/>
      <c r="CH8" s="47"/>
      <c r="CI8" s="47"/>
    </row>
    <row r="9" spans="1:94" s="13" customFormat="1">
      <c r="A9" s="1179" t="s">
        <v>210</v>
      </c>
      <c r="B9" s="1176" t="s">
        <v>258</v>
      </c>
      <c r="C9" s="82"/>
      <c r="D9" s="39" t="s">
        <v>259</v>
      </c>
      <c r="E9" s="40"/>
      <c r="F9" s="40"/>
      <c r="G9" s="40"/>
      <c r="H9" s="41"/>
      <c r="I9" s="64"/>
      <c r="K9" s="29" t="s">
        <v>260</v>
      </c>
      <c r="L9" s="29"/>
      <c r="M9" s="29"/>
      <c r="N9" s="29"/>
      <c r="O9" s="29"/>
      <c r="P9" s="29"/>
      <c r="Q9" s="30"/>
      <c r="R9" s="28" t="s">
        <v>261</v>
      </c>
      <c r="S9" s="29"/>
      <c r="T9" s="29"/>
      <c r="U9" s="29"/>
      <c r="V9" s="29"/>
      <c r="W9" s="29"/>
      <c r="X9" s="30"/>
      <c r="Y9" s="28" t="s">
        <v>262</v>
      </c>
      <c r="Z9" s="29"/>
      <c r="AA9" s="29"/>
      <c r="AB9" s="29"/>
      <c r="AC9" s="29"/>
      <c r="AD9" s="29"/>
      <c r="AE9" s="30"/>
      <c r="AF9" s="28" t="s">
        <v>263</v>
      </c>
      <c r="AG9" s="29"/>
      <c r="AH9" s="29"/>
      <c r="AI9" s="29"/>
      <c r="AJ9" s="29"/>
      <c r="AK9" s="29"/>
      <c r="AL9" s="30"/>
      <c r="AM9" s="28" t="s">
        <v>264</v>
      </c>
      <c r="AN9" s="29"/>
      <c r="AO9" s="29"/>
      <c r="AP9" s="29"/>
      <c r="AQ9" s="29"/>
      <c r="AR9" s="29"/>
      <c r="AS9" s="29"/>
      <c r="BA9" s="15"/>
      <c r="BB9" s="15"/>
      <c r="BC9" s="15"/>
      <c r="BD9" s="15"/>
      <c r="BE9" s="15"/>
      <c r="BH9" s="16"/>
      <c r="BI9" s="107"/>
      <c r="BM9" s="107"/>
      <c r="BN9" s="36"/>
      <c r="BO9" s="36"/>
      <c r="BP9" s="37"/>
      <c r="BQ9" s="107"/>
      <c r="BU9" s="107"/>
      <c r="BY9" s="36" t="s">
        <v>265</v>
      </c>
      <c r="BZ9" s="36"/>
      <c r="CA9" s="36"/>
      <c r="CB9" s="37"/>
      <c r="CC9" s="107"/>
      <c r="CD9" s="107"/>
      <c r="CE9" s="44"/>
      <c r="CF9" s="107"/>
      <c r="CG9" s="107"/>
      <c r="CH9" s="107"/>
      <c r="CI9" s="107"/>
    </row>
    <row r="10" spans="1:94" s="160" customFormat="1" ht="15" thickBot="1">
      <c r="A10" s="1180"/>
      <c r="B10" s="1177"/>
      <c r="C10" s="159"/>
      <c r="D10" s="65">
        <f>D$6</f>
        <v>0.5</v>
      </c>
      <c r="E10" s="65">
        <f>E$6</f>
        <v>0.3</v>
      </c>
      <c r="F10" s="65">
        <f>F$6</f>
        <v>0.1</v>
      </c>
      <c r="G10" s="65">
        <f>G$6</f>
        <v>0.1</v>
      </c>
      <c r="H10" s="65"/>
      <c r="I10" s="66"/>
      <c r="J10" s="13"/>
      <c r="K10" s="59" t="s">
        <v>266</v>
      </c>
      <c r="L10" s="60"/>
      <c r="M10" s="60"/>
      <c r="N10" s="60"/>
      <c r="O10" s="60"/>
      <c r="P10" s="60"/>
      <c r="Q10" s="31"/>
      <c r="R10" s="192" t="s">
        <v>267</v>
      </c>
      <c r="S10" s="60"/>
      <c r="T10" s="60"/>
      <c r="U10" s="60"/>
      <c r="V10" s="60"/>
      <c r="W10" s="60"/>
      <c r="X10" s="31"/>
      <c r="Y10" s="192" t="s">
        <v>268</v>
      </c>
      <c r="Z10" s="60"/>
      <c r="AA10" s="60"/>
      <c r="AB10" s="60"/>
      <c r="AC10" s="60"/>
      <c r="AD10" s="60"/>
      <c r="AE10" s="31"/>
      <c r="AF10" s="192" t="s">
        <v>269</v>
      </c>
      <c r="AG10" s="60"/>
      <c r="AH10" s="60"/>
      <c r="AI10" s="60"/>
      <c r="AJ10" s="60"/>
      <c r="AK10" s="60"/>
      <c r="AL10" s="31"/>
      <c r="AM10" s="192" t="s">
        <v>270</v>
      </c>
      <c r="AN10" s="60"/>
      <c r="AO10" s="60"/>
      <c r="AP10" s="60"/>
      <c r="AQ10" s="60"/>
      <c r="AR10" s="60"/>
      <c r="AS10" s="60"/>
      <c r="BH10" s="161" t="s">
        <v>271</v>
      </c>
      <c r="BM10" s="161" t="s">
        <v>272</v>
      </c>
      <c r="BP10" s="162"/>
      <c r="BQ10" s="162"/>
      <c r="BR10" s="161"/>
      <c r="BT10" s="161" t="s">
        <v>273</v>
      </c>
      <c r="BY10" s="161" t="s">
        <v>274</v>
      </c>
      <c r="CB10" s="162"/>
      <c r="CD10" s="163"/>
      <c r="CE10" s="163"/>
      <c r="CF10" s="164" t="s">
        <v>275</v>
      </c>
    </row>
    <row r="11" spans="1:94" s="17" customFormat="1" ht="101.25" customHeight="1">
      <c r="A11" s="1181"/>
      <c r="B11" s="1178"/>
      <c r="C11" s="83"/>
      <c r="D11" s="67" t="s">
        <v>276</v>
      </c>
      <c r="E11" s="173" t="s">
        <v>277</v>
      </c>
      <c r="F11" s="173" t="s">
        <v>278</v>
      </c>
      <c r="G11" s="173" t="s">
        <v>279</v>
      </c>
      <c r="H11" s="173" t="s">
        <v>280</v>
      </c>
      <c r="I11" s="68" t="s">
        <v>281</v>
      </c>
      <c r="K11" s="224">
        <v>2022</v>
      </c>
      <c r="L11" s="61">
        <v>2023</v>
      </c>
      <c r="M11" s="61">
        <v>2024</v>
      </c>
      <c r="N11" s="61">
        <v>2025</v>
      </c>
      <c r="O11" s="174" t="s">
        <v>282</v>
      </c>
      <c r="P11" s="174" t="s">
        <v>283</v>
      </c>
      <c r="Q11" s="62" t="s">
        <v>284</v>
      </c>
      <c r="R11" s="61">
        <v>2022</v>
      </c>
      <c r="S11" s="61">
        <v>2023</v>
      </c>
      <c r="T11" s="61">
        <v>2024</v>
      </c>
      <c r="U11" s="61">
        <v>2025</v>
      </c>
      <c r="V11" s="174" t="s">
        <v>285</v>
      </c>
      <c r="W11" s="174" t="s">
        <v>286</v>
      </c>
      <c r="X11" s="62" t="s">
        <v>284</v>
      </c>
      <c r="Y11" s="61">
        <v>2022</v>
      </c>
      <c r="Z11" s="61">
        <v>2023</v>
      </c>
      <c r="AA11" s="61">
        <v>2024</v>
      </c>
      <c r="AB11" s="61">
        <v>2025</v>
      </c>
      <c r="AC11" s="174" t="s">
        <v>287</v>
      </c>
      <c r="AD11" s="174" t="s">
        <v>288</v>
      </c>
      <c r="AE11" s="62" t="s">
        <v>284</v>
      </c>
      <c r="AF11" s="61">
        <v>2022</v>
      </c>
      <c r="AG11" s="61">
        <v>2023</v>
      </c>
      <c r="AH11" s="61">
        <v>2024</v>
      </c>
      <c r="AI11" s="61">
        <v>2025</v>
      </c>
      <c r="AJ11" s="174" t="s">
        <v>289</v>
      </c>
      <c r="AK11" s="174" t="s">
        <v>290</v>
      </c>
      <c r="AL11" s="62" t="s">
        <v>284</v>
      </c>
      <c r="AM11" s="61">
        <v>2022</v>
      </c>
      <c r="AN11" s="61">
        <v>2023</v>
      </c>
      <c r="AO11" s="61">
        <v>2024</v>
      </c>
      <c r="AP11" s="61">
        <v>2025</v>
      </c>
      <c r="AQ11" s="174" t="s">
        <v>291</v>
      </c>
      <c r="AR11" s="174" t="s">
        <v>292</v>
      </c>
      <c r="AS11" s="63" t="s">
        <v>284</v>
      </c>
      <c r="AU11" s="57" t="s">
        <v>293</v>
      </c>
      <c r="AV11" s="32" t="s">
        <v>294</v>
      </c>
      <c r="AW11" s="32" t="s">
        <v>295</v>
      </c>
      <c r="AX11" s="32" t="s">
        <v>296</v>
      </c>
      <c r="AY11" s="58" t="s">
        <v>297</v>
      </c>
      <c r="BA11" s="55" t="s">
        <v>298</v>
      </c>
      <c r="BB11" s="33" t="s">
        <v>299</v>
      </c>
      <c r="BC11" s="33" t="s">
        <v>300</v>
      </c>
      <c r="BD11" s="33" t="s">
        <v>301</v>
      </c>
      <c r="BE11" s="33" t="s">
        <v>302</v>
      </c>
      <c r="BF11" s="56" t="s">
        <v>303</v>
      </c>
      <c r="BH11" s="53" t="s">
        <v>304</v>
      </c>
      <c r="BI11" s="34" t="s">
        <v>305</v>
      </c>
      <c r="BJ11" s="34" t="s">
        <v>306</v>
      </c>
      <c r="BK11" s="54" t="s">
        <v>307</v>
      </c>
      <c r="BM11" s="53" t="s">
        <v>308</v>
      </c>
      <c r="BN11" s="34" t="s">
        <v>309</v>
      </c>
      <c r="BO11" s="34" t="s">
        <v>310</v>
      </c>
      <c r="BP11" s="104" t="s">
        <v>311</v>
      </c>
      <c r="BQ11" s="34" t="s">
        <v>312</v>
      </c>
      <c r="BR11" s="35" t="s">
        <v>313</v>
      </c>
      <c r="BT11" s="50" t="s">
        <v>304</v>
      </c>
      <c r="BU11" s="38" t="s">
        <v>305</v>
      </c>
      <c r="BV11" s="38" t="s">
        <v>306</v>
      </c>
      <c r="BW11" s="51" t="s">
        <v>307</v>
      </c>
      <c r="BY11" s="50" t="s">
        <v>308</v>
      </c>
      <c r="BZ11" s="38" t="s">
        <v>309</v>
      </c>
      <c r="CA11" s="38" t="s">
        <v>310</v>
      </c>
      <c r="CB11" s="51" t="s">
        <v>314</v>
      </c>
      <c r="CC11" s="38" t="s">
        <v>315</v>
      </c>
      <c r="CD11" s="51" t="s">
        <v>316</v>
      </c>
      <c r="CE11" s="99"/>
      <c r="CF11" s="48" t="s">
        <v>317</v>
      </c>
      <c r="CG11" s="46" t="s">
        <v>318</v>
      </c>
      <c r="CH11" s="46" t="s">
        <v>319</v>
      </c>
      <c r="CI11" s="49" t="s">
        <v>320</v>
      </c>
      <c r="CJ11" s="273" t="s">
        <v>321</v>
      </c>
      <c r="CK11" s="274" t="s">
        <v>322</v>
      </c>
      <c r="CL11" s="284" t="s">
        <v>323</v>
      </c>
      <c r="CM11" s="274" t="s">
        <v>324</v>
      </c>
      <c r="CN11" s="284" t="s">
        <v>325</v>
      </c>
      <c r="CO11" s="281" t="s">
        <v>326</v>
      </c>
    </row>
    <row r="12" spans="1:94">
      <c r="A12" s="69" t="s">
        <v>219</v>
      </c>
      <c r="B12" s="240" t="s">
        <v>23</v>
      </c>
      <c r="C12" s="27"/>
      <c r="D12" s="70">
        <f>'Op Cost - Performance'!F2</f>
        <v>2524115</v>
      </c>
      <c r="E12" s="175">
        <f>'Ridership'!$F2</f>
        <v>130218</v>
      </c>
      <c r="F12" s="175">
        <f>'Revenue Hours - Sizing'!F2</f>
        <v>28183</v>
      </c>
      <c r="G12" s="175">
        <f>'Revenue Miles - Sizing'!F2</f>
        <v>563585</v>
      </c>
      <c r="H12" s="176">
        <f>IFERROR($D$10*(D12/D$51),0) + IFERROR($E$10*(E12/E$51),0) + IFERROR($F$10*(F12/F$51),0) + IFERROR($G$10*(G12/G$51),0)</f>
        <v>4.0116223392876339E-3</v>
      </c>
      <c r="I12" s="110">
        <f t="shared" ref="I12:I50" si="0">H12/(SUM($H$12:$H$50))</f>
        <v>4.0116223392876339E-3</v>
      </c>
      <c r="J12" s="111"/>
      <c r="K12" s="112">
        <f>'Ridership'!C2/'Revenue Hours'!B2</f>
        <v>3.1691372472531043</v>
      </c>
      <c r="L12" s="177">
        <f>'Ridership'!D2/'Revenue Hours'!C2</f>
        <v>3.6951123254401943</v>
      </c>
      <c r="M12" s="177">
        <f>'Ridership'!E2/'Revenue Hours'!D2</f>
        <v>3.9434511566089681</v>
      </c>
      <c r="N12" s="177">
        <f>'Ridership'!F2/'Revenue Hours'!E2</f>
        <v>4.6204449490827804</v>
      </c>
      <c r="O12" s="178">
        <f t="shared" ref="O12:O50" si="1">IF(K12=0,IF(L12=0,1,AVERAGE(1,(M12/L12)/($M$51/$L$51),(N12/M12)/($N$51/$M$51))), AVERAGE((L12/K12)/($L$51/$K$51),(M12/L12)/($M$51/$L$51),(N12/M12)/($N$51/$M$51)))</f>
        <v>1.0276488181997583</v>
      </c>
      <c r="P12" s="179">
        <f t="shared" ref="P12:P50" si="2">$I12*O12</f>
        <v>4.1225389560326864E-3</v>
      </c>
      <c r="Q12" s="113">
        <f t="shared" ref="Q12:Q50" si="3">P12/SUM($P$12:$P$50)</f>
        <v>4.0814078329043935E-3</v>
      </c>
      <c r="R12" s="114">
        <f>'Ridership'!C2/'Revenue Miles'!C2</f>
        <v>0.15372497942218116</v>
      </c>
      <c r="S12" s="177">
        <f>'Ridership'!D2/'Revenue Miles'!D2</f>
        <v>0.17586518789083722</v>
      </c>
      <c r="T12" s="177">
        <f>'Ridership'!E2/'Revenue Miles'!E2</f>
        <v>0.19149279464507979</v>
      </c>
      <c r="U12" s="177">
        <f>'Ridership'!F2/'Revenue Miles'!F2</f>
        <v>0.23105299111935201</v>
      </c>
      <c r="V12" s="178">
        <f t="shared" ref="V12:V50" si="4">IF(R12=0,IF(S12=0,1,AVERAGE(1,(T12/S12)/($T$51/$S$51),(U12/T12)/($U$51/$T$51))), AVERAGE((S12/R12)/($S$51/$R$51),(T12/S12)/($T$51/$S$51),(U12/T12)/($U$51/$T$51)))</f>
        <v>1.036232675939792</v>
      </c>
      <c r="W12" s="179">
        <f t="shared" ref="W12:W50" si="5">$I12*V12</f>
        <v>4.1569741514998725E-3</v>
      </c>
      <c r="X12" s="113">
        <f t="shared" ref="X12:X50" si="6">W12/SUM($W$12:$W$50)</f>
        <v>4.1083476136075719E-3</v>
      </c>
      <c r="Y12" s="262">
        <f>'Op Cost - Performance'!C2/'Revenue Hours'!B2</f>
        <v>74.945094597230351</v>
      </c>
      <c r="Z12" s="263">
        <f>'Op Cost - Performance'!D2/'Revenue Hours'!C2</f>
        <v>75.894444444444446</v>
      </c>
      <c r="AA12" s="263">
        <f>'Op Cost - Performance'!E2/'Revenue Hours'!D2</f>
        <v>80.803487231416725</v>
      </c>
      <c r="AB12" s="263">
        <f>'Op Cost - Performance'!F2/'Revenue Hours'!E2</f>
        <v>89.561615158074019</v>
      </c>
      <c r="AC12" s="178">
        <f t="shared" ref="AC12:AC50" si="7">IF(Y12=0,IF(Z12=0,1,AVERAGE(1,(AA12/Z12)/($AA$51/$AA$51),(AB12/AA12)/($AB$51/$AA$51))), AVERAGE((Z12/Y12)/($Z$51/$Y$51),(AA12/Z12)/($AA$51/$Z$51),(AB12/AA12)/($AB$51/$AA$51)))</f>
        <v>0.99586829576587055</v>
      </c>
      <c r="AD12" s="179">
        <f t="shared" ref="AD12:AD50" si="8">$I12*(1/AC12)</f>
        <v>4.0282659427394495E-3</v>
      </c>
      <c r="AE12" s="113">
        <f t="shared" ref="AE12:AE50" si="9">AD12/SUM($AD$12:$AD$50)</f>
        <v>4.0163882622050078E-3</v>
      </c>
      <c r="AF12" s="262">
        <f>'Op Cost - Performance'!C2/'Revenue Miles'!C2</f>
        <v>3.6353531658304137</v>
      </c>
      <c r="AG12" s="263">
        <f>'Op Cost - Performance'!D2/'Revenue Miles'!D2</f>
        <v>3.61212043276733</v>
      </c>
      <c r="AH12" s="263">
        <f>'Op Cost - Performance'!E2/'Revenue Miles'!E2</f>
        <v>3.9237928840781477</v>
      </c>
      <c r="AI12" s="263">
        <f>'Op Cost - Performance'!F2/'Revenue Miles'!F2</f>
        <v>4.4786766858592761</v>
      </c>
      <c r="AJ12" s="178">
        <f t="shared" ref="AJ12:AJ50" si="10">IF(AF12=0,IF(AG12=0,1,AVERAGE(1,(AH12/AG12)/($AH$51/$AG$51),(AI12/AH12)/($AI$51/$AH$51))), AVERAGE((AG12/AF12)/($AG$51/$AF$51),(AH12/AG12)/($AH$51/$AG$51),(AI12/AH12)/($AI$51/$AH$51)))</f>
        <v>1.0044057282949106</v>
      </c>
      <c r="AK12" s="179">
        <f t="shared" ref="AK12:AK50" si="11">$I12*(1/AJ12)</f>
        <v>3.994025747043284E-3</v>
      </c>
      <c r="AL12" s="113">
        <f t="shared" ref="AL12:AL50" si="12">AK12/SUM($AK$12:$AK$50)</f>
        <v>3.9898439646489162E-3</v>
      </c>
      <c r="AM12" s="262">
        <f>'Op Cost - Performance'!C2/'Ridership'!C2</f>
        <v>23.64842187323698</v>
      </c>
      <c r="AN12" s="263">
        <f>'Op Cost - Performance'!D2/'Ridership'!D2</f>
        <v>20.53914408012028</v>
      </c>
      <c r="AO12" s="263">
        <f>'Op Cost - Performance'!E2/'Ridership'!E2</f>
        <v>20.490551048412335</v>
      </c>
      <c r="AP12" s="263">
        <f>'Op Cost - Performance'!F2/'Ridership'!F2</f>
        <v>19.383764149349552</v>
      </c>
      <c r="AQ12" s="264">
        <f t="shared" ref="AQ12:AQ50" si="13">IF(AM12=0,IF(AN12=0,1,AVERAGE(1,(AO12/AN12)/($AO$51/$AN$51),(AP12/AO12)/($AP$51/$AO$51))), AVERAGE((AN12/AM12)/($AN$51/$AM$51),(AO12/AN12)/($AO$51/$AN$51),(AP12/AO12)/($AP$51/$AO$51)))</f>
        <v>0.97014571290390972</v>
      </c>
      <c r="AR12" s="179">
        <f t="shared" ref="AR12:AR50" si="14">$I12*(1/AQ12)</f>
        <v>4.1350719648904685E-3</v>
      </c>
      <c r="AS12" s="115">
        <f t="shared" ref="AS12:AS50" si="15">AR12/SUM($AR$12:$AR$50)</f>
        <v>4.1206726913321058E-3</v>
      </c>
      <c r="AT12" s="111"/>
      <c r="AU12" s="116">
        <f t="shared" ref="AU12:AU50" si="16">Q12*AU$6</f>
        <v>8.1628156658087876E-4</v>
      </c>
      <c r="AV12" s="180">
        <f t="shared" ref="AV12:AV50" si="17">X12*AV$6</f>
        <v>8.2166952272151443E-4</v>
      </c>
      <c r="AW12" s="180">
        <f t="shared" ref="AW12:AW50" si="18">AE12*AW$6</f>
        <v>8.0327765244100164E-4</v>
      </c>
      <c r="AX12" s="180">
        <f t="shared" ref="AX12:AX50" si="19">AL12*AX$6</f>
        <v>7.9796879292978328E-4</v>
      </c>
      <c r="AY12" s="117">
        <f t="shared" ref="AY12:AY50" si="20">AS12*AY$6</f>
        <v>8.2413453826642126E-4</v>
      </c>
      <c r="AZ12" s="111"/>
      <c r="BA12" s="118">
        <f t="shared" ref="BA12:BA51" si="21">AU12*$BA$6</f>
        <v>113300.03490236049</v>
      </c>
      <c r="BB12" s="181">
        <f t="shared" ref="BB12:BB51" si="22">AV12*$BA$6</f>
        <v>114047.88422761648</v>
      </c>
      <c r="BC12" s="181">
        <f t="shared" ref="BC12:BC51" si="23">AW12*$BA$6</f>
        <v>111495.08917500969</v>
      </c>
      <c r="BD12" s="181">
        <f t="shared" ref="BD12:BD51" si="24">AX12*$BA$6</f>
        <v>110758.21847678699</v>
      </c>
      <c r="BE12" s="181">
        <f t="shared" ref="BE12:BE51" si="25">AY12*$BA$6</f>
        <v>114390.02884867246</v>
      </c>
      <c r="BF12" s="119">
        <f t="shared" ref="BF12:BF51" si="26">SUM(BA12:BE12)</f>
        <v>563991.25563044613</v>
      </c>
      <c r="BH12" s="257">
        <f>'Op Cost - Performance'!F2</f>
        <v>2524115</v>
      </c>
      <c r="BI12" s="182">
        <f t="shared" ref="BI12:BI50" si="27">BF12/BH12</f>
        <v>0.22344118854744976</v>
      </c>
      <c r="BJ12" s="183">
        <f t="shared" ref="BJ12:BJ50" si="28">IF(BF12&gt;BH12*$BJ$6,BH12*$BJ$6,BF12)</f>
        <v>563991.25563044613</v>
      </c>
      <c r="BK12" s="138">
        <f t="shared" ref="BK12:BK50" si="29">BF12-BJ12</f>
        <v>0</v>
      </c>
      <c r="BM12" s="52">
        <f t="shared" ref="BM12:BM50" si="30">IF(OR(BK12&gt;0,BI12&gt;=$BJ$6),0,BJ12)</f>
        <v>563991.25563044613</v>
      </c>
      <c r="BN12" s="184">
        <f t="shared" ref="BN12:BN50" si="31">BM12/$BM$51</f>
        <v>4.6580708252923096E-3</v>
      </c>
      <c r="BO12" s="259">
        <f t="shared" ref="BO12:BO50" si="32">BN12*$BM$6</f>
        <v>7624.4832960819977</v>
      </c>
      <c r="BP12" s="259">
        <f>(BO12+BJ12)</f>
        <v>571615.73892652814</v>
      </c>
      <c r="BQ12" s="185">
        <f>BP12/BH12</f>
        <v>0.22646184461743152</v>
      </c>
      <c r="BR12" s="142">
        <f t="shared" ref="BR12:BR50" si="33">IF(BP12&gt;($BJ$6*BH12),1,0)</f>
        <v>0</v>
      </c>
      <c r="BS12" s="11"/>
      <c r="BT12" s="256">
        <f t="shared" ref="BT12:BT50" si="34">BH12</f>
        <v>2524115</v>
      </c>
      <c r="BU12" s="186">
        <f>BP12/BT12</f>
        <v>0.22646184461743152</v>
      </c>
      <c r="BV12" s="187">
        <f t="shared" ref="BV12:BV50" si="35">IF(BP12&gt;BH12*$BJ$6,BH12*$BJ$6,BP12)</f>
        <v>571615.73892652814</v>
      </c>
      <c r="BW12" s="143">
        <f t="shared" ref="BW12:BW51" si="36">BP12-BV12</f>
        <v>0</v>
      </c>
      <c r="BY12" s="52">
        <f>IF(OR(BW12&gt;0,BU12&gt;=$BJ$6),0,BV12)</f>
        <v>571615.73892652814</v>
      </c>
      <c r="BZ12" s="188">
        <f t="shared" ref="BZ12:BZ51" si="37">BY12/$BY$51</f>
        <v>4.6580708252923113E-3</v>
      </c>
      <c r="CA12" s="189">
        <f t="shared" ref="CA12:CA51" si="38">BZ12*$BZ$6</f>
        <v>0</v>
      </c>
      <c r="CB12" s="147">
        <f>(CA12+BV12)</f>
        <v>571615.73892652814</v>
      </c>
      <c r="CC12" s="190">
        <f>CB12/BT12</f>
        <v>0.22646184461743152</v>
      </c>
      <c r="CD12" s="148">
        <f t="shared" ref="CD12:CD50" si="39">IF(CC12&gt;$BJ$6,1,0)</f>
        <v>0</v>
      </c>
      <c r="CE12" s="97"/>
      <c r="CF12" s="154">
        <f t="shared" ref="CF12:CF50" si="40">BH12*$BJ$6</f>
        <v>757234.5</v>
      </c>
      <c r="CG12" s="189">
        <f t="shared" ref="CG12:CG50" si="41">IF(CB12&gt;CF12,CB12-CF12,0)</f>
        <v>0</v>
      </c>
      <c r="CH12" s="266">
        <f t="shared" ref="CH12:CH50" si="42">CB12-CG12</f>
        <v>571615.73892652814</v>
      </c>
      <c r="CI12" s="155">
        <f t="shared" ref="CI12:CI50" si="43">CH12/BT12</f>
        <v>0.22646184461743152</v>
      </c>
      <c r="CJ12" s="275">
        <v>554807.21070635587</v>
      </c>
      <c r="CK12" s="276">
        <f t="shared" ref="CK12:CK50" si="44">(CH12-CJ12)/CJ12</f>
        <v>3.02961603523004E-2</v>
      </c>
      <c r="CL12" s="277">
        <f>CK12/$CK$51</f>
        <v>0.33385001376883378</v>
      </c>
      <c r="CM12" s="278">
        <f>'Ridership'!P2</f>
        <v>4.4945713666674693E-2</v>
      </c>
      <c r="CN12" s="277">
        <f>IF(CL12&lt;0,CK12/CM12, 0)</f>
        <v>0</v>
      </c>
      <c r="CO12" s="279"/>
    </row>
    <row r="13" spans="1:94">
      <c r="A13" s="71" t="s">
        <v>219</v>
      </c>
      <c r="B13" s="240" t="s">
        <v>27</v>
      </c>
      <c r="C13" s="27"/>
      <c r="D13" s="70">
        <f>'Op Cost - Performance'!F3</f>
        <v>420188</v>
      </c>
      <c r="E13" s="175">
        <f>'Ridership'!$F3</f>
        <v>43130</v>
      </c>
      <c r="F13" s="175">
        <f>'Revenue Hours - Sizing'!F3</f>
        <v>7578</v>
      </c>
      <c r="G13" s="175">
        <f>'Revenue Miles - Sizing'!F3</f>
        <v>90570</v>
      </c>
      <c r="H13" s="191">
        <f t="shared" ref="H13:H50" si="45">IFERROR($D$10*(D13/D$51),0) + IFERROR($E$10*(E13/E$51),0) + IFERROR($F$10*(F13/F$51),0) + IFERROR($G$10*(G13/G$51),0)</f>
        <v>8.3196634304082107E-4</v>
      </c>
      <c r="I13" s="110">
        <f t="shared" si="0"/>
        <v>8.3196634304082107E-4</v>
      </c>
      <c r="J13" s="111"/>
      <c r="K13" s="112">
        <f>'Ridership'!C3/'Revenue Hours'!B3</f>
        <v>4.8354101054361225</v>
      </c>
      <c r="L13" s="177">
        <f>'Ridership'!D3/'Revenue Hours'!C3</f>
        <v>5.5493279229013446</v>
      </c>
      <c r="M13" s="177">
        <f>'Ridership'!E3/'Revenue Hours'!D3</f>
        <v>5.6378698224852073</v>
      </c>
      <c r="N13" s="177">
        <f>'Ridership'!F3/'Revenue Hours'!E3</f>
        <v>5.6914753233043021</v>
      </c>
      <c r="O13" s="178">
        <f t="shared" si="1"/>
        <v>0.95568272314005676</v>
      </c>
      <c r="P13" s="179">
        <f t="shared" si="2"/>
        <v>7.9509586027812652E-4</v>
      </c>
      <c r="Q13" s="113">
        <f t="shared" si="3"/>
        <v>7.8716308242528427E-4</v>
      </c>
      <c r="R13" s="114">
        <f>'Ridership'!C3/'Revenue Miles'!C3</f>
        <v>0.41985803797543603</v>
      </c>
      <c r="S13" s="177">
        <f>'Ridership'!D3/'Revenue Miles'!D3</f>
        <v>0.46390976646560589</v>
      </c>
      <c r="T13" s="177">
        <f>'Ridership'!E3/'Revenue Miles'!E3</f>
        <v>0.46872847725558364</v>
      </c>
      <c r="U13" s="177">
        <f>'Ridership'!F3/'Revenue Miles'!F3</f>
        <v>0.476206249309926</v>
      </c>
      <c r="V13" s="178">
        <f t="shared" si="4"/>
        <v>0.94123379146902819</v>
      </c>
      <c r="W13" s="179">
        <f t="shared" si="5"/>
        <v>7.8307483543493415E-4</v>
      </c>
      <c r="X13" s="113">
        <f t="shared" si="6"/>
        <v>7.7391475486429976E-4</v>
      </c>
      <c r="Y13" s="262">
        <f>'Op Cost - Performance'!C3/'Revenue Hours'!B3</f>
        <v>62.039983568396551</v>
      </c>
      <c r="Z13" s="263">
        <f>'Op Cost - Performance'!D3/'Revenue Hours'!C3</f>
        <v>50.572406796855184</v>
      </c>
      <c r="AA13" s="263">
        <f>'Op Cost - Performance'!E3/'Revenue Hours'!D3</f>
        <v>47.540828402366863</v>
      </c>
      <c r="AB13" s="263">
        <f>'Op Cost - Performance'!F3/'Revenue Hours'!E3</f>
        <v>55.448403272631303</v>
      </c>
      <c r="AC13" s="178">
        <f t="shared" si="7"/>
        <v>0.91348234924556271</v>
      </c>
      <c r="AD13" s="179">
        <f t="shared" si="8"/>
        <v>9.1076345780291763E-4</v>
      </c>
      <c r="AE13" s="113">
        <f t="shared" si="9"/>
        <v>9.080779952371392E-4</v>
      </c>
      <c r="AF13" s="262">
        <f>'Op Cost - Performance'!C3/'Revenue Miles'!C3</f>
        <v>5.3869237994459436</v>
      </c>
      <c r="AG13" s="263">
        <f>'Op Cost - Performance'!D3/'Revenue Miles'!D3</f>
        <v>4.2277251863080787</v>
      </c>
      <c r="AH13" s="263">
        <f>'Op Cost - Performance'!E3/'Revenue Miles'!E3</f>
        <v>3.9525105768915418</v>
      </c>
      <c r="AI13" s="263">
        <f>'Op Cost - Performance'!F3/'Revenue Miles'!F3</f>
        <v>4.639372860770675</v>
      </c>
      <c r="AJ13" s="178">
        <f t="shared" si="10"/>
        <v>0.90241870563701776</v>
      </c>
      <c r="AK13" s="179">
        <f t="shared" si="11"/>
        <v>9.2192940798311099E-4</v>
      </c>
      <c r="AL13" s="113">
        <f t="shared" si="12"/>
        <v>9.2096413925142899E-4</v>
      </c>
      <c r="AM13" s="262">
        <f>'Op Cost - Performance'!C3/'Ridership'!C3</f>
        <v>12.830345765015716</v>
      </c>
      <c r="AN13" s="263">
        <f>'Op Cost - Performance'!D3/'Ridership'!D3</f>
        <v>9.1132489374343031</v>
      </c>
      <c r="AO13" s="263">
        <f>'Op Cost - Performance'!E3/'Ridership'!E3</f>
        <v>8.4324097397145259</v>
      </c>
      <c r="AP13" s="263">
        <f>'Op Cost - Performance'!F3/'Ridership'!F3</f>
        <v>9.7423603060514719</v>
      </c>
      <c r="AQ13" s="264">
        <f t="shared" si="13"/>
        <v>0.95711129718071264</v>
      </c>
      <c r="AR13" s="179">
        <f t="shared" si="14"/>
        <v>8.6924722912735323E-4</v>
      </c>
      <c r="AS13" s="115">
        <f t="shared" si="15"/>
        <v>8.6622030994714869E-4</v>
      </c>
      <c r="AT13" s="111"/>
      <c r="AU13" s="116">
        <f t="shared" si="16"/>
        <v>1.5743261648505687E-4</v>
      </c>
      <c r="AV13" s="180">
        <f t="shared" si="17"/>
        <v>1.5478295097285996E-4</v>
      </c>
      <c r="AW13" s="180">
        <f t="shared" si="18"/>
        <v>1.8161559904742786E-4</v>
      </c>
      <c r="AX13" s="180">
        <f t="shared" si="19"/>
        <v>1.8419282785028581E-4</v>
      </c>
      <c r="AY13" s="117">
        <f t="shared" si="20"/>
        <v>1.7324406198942975E-4</v>
      </c>
      <c r="AZ13" s="111"/>
      <c r="BA13" s="118">
        <f t="shared" si="21"/>
        <v>21851.676765457792</v>
      </c>
      <c r="BB13" s="181">
        <f t="shared" si="22"/>
        <v>21483.902694227745</v>
      </c>
      <c r="BC13" s="181">
        <f t="shared" si="23"/>
        <v>25208.27929151561</v>
      </c>
      <c r="BD13" s="181">
        <f t="shared" si="24"/>
        <v>25565.999133871308</v>
      </c>
      <c r="BE13" s="181">
        <f t="shared" si="25"/>
        <v>24046.308374016502</v>
      </c>
      <c r="BF13" s="119">
        <f t="shared" si="26"/>
        <v>118156.16625908898</v>
      </c>
      <c r="BH13" s="257">
        <f>'Op Cost - Performance'!F3</f>
        <v>420188</v>
      </c>
      <c r="BI13" s="182">
        <f t="shared" si="27"/>
        <v>0.28119833564758862</v>
      </c>
      <c r="BJ13" s="183">
        <f t="shared" si="28"/>
        <v>118156.16625908898</v>
      </c>
      <c r="BK13" s="138">
        <f t="shared" si="29"/>
        <v>0</v>
      </c>
      <c r="BM13" s="52">
        <f t="shared" si="30"/>
        <v>118156.16625908898</v>
      </c>
      <c r="BN13" s="184">
        <f t="shared" si="31"/>
        <v>9.7586582306957779E-4</v>
      </c>
      <c r="BO13" s="259">
        <f t="shared" si="32"/>
        <v>1597.3292262563207</v>
      </c>
      <c r="BP13" s="259">
        <f t="shared" ref="BP13:BP50" si="46">(BO13+BJ13)</f>
        <v>119753.49548534529</v>
      </c>
      <c r="BQ13" s="185">
        <f t="shared" ref="BQ13:BQ49" si="47">BP13/BH13</f>
        <v>0.28499979886466364</v>
      </c>
      <c r="BR13" s="142">
        <f t="shared" si="33"/>
        <v>0</v>
      </c>
      <c r="BS13" s="11"/>
      <c r="BT13" s="256">
        <f t="shared" si="34"/>
        <v>420188</v>
      </c>
      <c r="BU13" s="186">
        <f t="shared" ref="BU13:BU50" si="48">BP13/BT13</f>
        <v>0.28499979886466364</v>
      </c>
      <c r="BV13" s="187">
        <f t="shared" si="35"/>
        <v>119753.49548534529</v>
      </c>
      <c r="BW13" s="143">
        <f t="shared" si="36"/>
        <v>0</v>
      </c>
      <c r="BY13" s="52">
        <f t="shared" ref="BY13:BY50" si="49">IF(OR(BW13&gt;0,BU13&gt;=$BJ$6),0,BV13)</f>
        <v>119753.49548534529</v>
      </c>
      <c r="BZ13" s="188">
        <f t="shared" si="37"/>
        <v>9.7586582306957801E-4</v>
      </c>
      <c r="CA13" s="189">
        <f t="shared" si="38"/>
        <v>0</v>
      </c>
      <c r="CB13" s="147">
        <f t="shared" ref="CB13:CB50" si="50">(CA13+BV13)</f>
        <v>119753.49548534529</v>
      </c>
      <c r="CC13" s="190">
        <f t="shared" ref="CC13:CC50" si="51">CB13/BT13</f>
        <v>0.28499979886466364</v>
      </c>
      <c r="CD13" s="148">
        <f t="shared" si="39"/>
        <v>0</v>
      </c>
      <c r="CE13" s="97"/>
      <c r="CF13" s="154">
        <f t="shared" si="40"/>
        <v>126056.4</v>
      </c>
      <c r="CG13" s="189">
        <f t="shared" si="41"/>
        <v>0</v>
      </c>
      <c r="CH13" s="266">
        <f t="shared" si="42"/>
        <v>119753.49548534529</v>
      </c>
      <c r="CI13" s="155">
        <f t="shared" si="43"/>
        <v>0.28499979886466364</v>
      </c>
      <c r="CJ13" s="275">
        <v>108464.4</v>
      </c>
      <c r="CK13" s="276">
        <f t="shared" si="44"/>
        <v>0.10408111311495109</v>
      </c>
      <c r="CL13" s="277">
        <f t="shared" ref="CL13:CL50" si="52">CK13/$CK$51</f>
        <v>1.1469268924655522</v>
      </c>
      <c r="CM13" s="278">
        <f>'Ridership'!P3</f>
        <v>5.924060080231365E-3</v>
      </c>
      <c r="CN13" s="277">
        <f t="shared" ref="CN13:CN50" si="53">IF(CL13&lt;0,CK13/CM13, 0)</f>
        <v>0</v>
      </c>
      <c r="CO13" s="279"/>
    </row>
    <row r="14" spans="1:94">
      <c r="A14" s="71" t="s">
        <v>219</v>
      </c>
      <c r="B14" s="240" t="s">
        <v>35</v>
      </c>
      <c r="C14" s="27"/>
      <c r="D14" s="70">
        <f>'Op Cost - Performance'!F4</f>
        <v>3065339</v>
      </c>
      <c r="E14" s="175">
        <f>'Ridership'!$F4</f>
        <v>180698</v>
      </c>
      <c r="F14" s="175">
        <f>'Revenue Hours - Sizing'!F4</f>
        <v>42313</v>
      </c>
      <c r="G14" s="175">
        <f>'Revenue Miles - Sizing'!F4</f>
        <v>474357</v>
      </c>
      <c r="H14" s="176">
        <f t="shared" si="45"/>
        <v>4.8465781262753095E-3</v>
      </c>
      <c r="I14" s="110">
        <f t="shared" si="0"/>
        <v>4.8465781262753095E-3</v>
      </c>
      <c r="J14" s="111"/>
      <c r="K14" s="112">
        <f>'Ridership'!C4/'Revenue Hours'!B4</f>
        <v>3.0190503841343577</v>
      </c>
      <c r="L14" s="177">
        <f>'Ridership'!D4/'Revenue Hours'!C4</f>
        <v>3.4820277878872212</v>
      </c>
      <c r="M14" s="177">
        <f>'Ridership'!E4/'Revenue Hours'!D4</f>
        <v>3.6780878638565691</v>
      </c>
      <c r="N14" s="177">
        <f>'Ridership'!F4/'Revenue Hours'!E4</f>
        <v>4.2705078817384727</v>
      </c>
      <c r="O14" s="178">
        <f t="shared" si="1"/>
        <v>1.0173796682347109</v>
      </c>
      <c r="P14" s="179">
        <f t="shared" si="2"/>
        <v>4.9308100461835811E-3</v>
      </c>
      <c r="Q14" s="113">
        <f t="shared" si="3"/>
        <v>4.881614694169983E-3</v>
      </c>
      <c r="R14" s="114">
        <f>'Ridership'!C4/'Revenue Miles'!C4</f>
        <v>0.30702858129224508</v>
      </c>
      <c r="S14" s="177">
        <f>'Ridership'!D4/'Revenue Miles'!D4</f>
        <v>0.33183650652455993</v>
      </c>
      <c r="T14" s="177">
        <f>'Ridership'!E4/'Revenue Miles'!E4</f>
        <v>0.34030770763177753</v>
      </c>
      <c r="U14" s="177">
        <f>'Ridership'!F4/'Revenue Miles'!F4</f>
        <v>0.38093250442177518</v>
      </c>
      <c r="V14" s="178">
        <f t="shared" si="4"/>
        <v>0.97155618336980731</v>
      </c>
      <c r="W14" s="179">
        <f t="shared" si="5"/>
        <v>4.7087229467676316E-3</v>
      </c>
      <c r="X14" s="113">
        <f t="shared" si="6"/>
        <v>4.6536422831766093E-3</v>
      </c>
      <c r="Y14" s="262">
        <f>'Op Cost - Performance'!C4/'Revenue Hours'!B4</f>
        <v>58.62645167053779</v>
      </c>
      <c r="Z14" s="263">
        <f>'Op Cost - Performance'!D4/'Revenue Hours'!C4</f>
        <v>57.842499625355913</v>
      </c>
      <c r="AA14" s="263">
        <f>'Op Cost - Performance'!E4/'Revenue Hours'!D4</f>
        <v>62.071922487681668</v>
      </c>
      <c r="AB14" s="263">
        <f>'Op Cost - Performance'!F4/'Revenue Hours'!E4</f>
        <v>72.444378796114663</v>
      </c>
      <c r="AC14" s="178">
        <f t="shared" si="7"/>
        <v>1.0088651199020127</v>
      </c>
      <c r="AD14" s="179">
        <f t="shared" si="8"/>
        <v>4.8039901773450546E-3</v>
      </c>
      <c r="AE14" s="113">
        <f t="shared" si="9"/>
        <v>4.7898252087386628E-3</v>
      </c>
      <c r="AF14" s="262">
        <f>'Op Cost - Performance'!C4/'Revenue Miles'!C4</f>
        <v>5.9621384184897162</v>
      </c>
      <c r="AG14" s="263">
        <f>'Op Cost - Performance'!D4/'Revenue Miles'!D4</f>
        <v>5.5123778940238459</v>
      </c>
      <c r="AH14" s="263">
        <f>'Op Cost - Performance'!E4/'Revenue Miles'!E4</f>
        <v>5.7430802177552511</v>
      </c>
      <c r="AI14" s="263">
        <f>'Op Cost - Performance'!F4/'Revenue Miles'!F4</f>
        <v>6.4620928962785413</v>
      </c>
      <c r="AJ14" s="178">
        <f t="shared" si="10"/>
        <v>0.96412947809901206</v>
      </c>
      <c r="AK14" s="179">
        <f t="shared" si="11"/>
        <v>5.0268954910821489E-3</v>
      </c>
      <c r="AL14" s="113">
        <f t="shared" si="12"/>
        <v>5.0216322843843718E-3</v>
      </c>
      <c r="AM14" s="262">
        <f>'Op Cost - Performance'!C4/'Ridership'!C4</f>
        <v>19.418838446231348</v>
      </c>
      <c r="AN14" s="263">
        <f>'Op Cost - Performance'!D4/'Ridership'!D4</f>
        <v>16.611728322953109</v>
      </c>
      <c r="AO14" s="263">
        <f>'Op Cost - Performance'!E4/'Ridership'!E4</f>
        <v>16.876139120449849</v>
      </c>
      <c r="AP14" s="263">
        <f>'Op Cost - Performance'!F4/'Ridership'!F4</f>
        <v>16.963878958261851</v>
      </c>
      <c r="AQ14" s="264">
        <f t="shared" si="13"/>
        <v>0.99126332306114173</v>
      </c>
      <c r="AR14" s="179">
        <f t="shared" si="14"/>
        <v>4.8892943111306557E-3</v>
      </c>
      <c r="AS14" s="115">
        <f t="shared" si="15"/>
        <v>4.872268661543157E-3</v>
      </c>
      <c r="AT14" s="111"/>
      <c r="AU14" s="116">
        <f t="shared" si="16"/>
        <v>9.7632293883399661E-4</v>
      </c>
      <c r="AV14" s="180">
        <f t="shared" si="17"/>
        <v>9.3072845663532192E-4</v>
      </c>
      <c r="AW14" s="180">
        <f t="shared" si="18"/>
        <v>9.5796504174773262E-4</v>
      </c>
      <c r="AX14" s="180">
        <f t="shared" si="19"/>
        <v>1.0043264568768745E-3</v>
      </c>
      <c r="AY14" s="117">
        <f t="shared" si="20"/>
        <v>9.7445373230863139E-4</v>
      </c>
      <c r="AZ14" s="111"/>
      <c r="BA14" s="118">
        <f t="shared" si="21"/>
        <v>135513.80745887122</v>
      </c>
      <c r="BB14" s="181">
        <f t="shared" si="22"/>
        <v>129185.28475793253</v>
      </c>
      <c r="BC14" s="181">
        <f t="shared" si="23"/>
        <v>132965.72789201315</v>
      </c>
      <c r="BD14" s="181">
        <f t="shared" si="24"/>
        <v>139400.70102788406</v>
      </c>
      <c r="BE14" s="181">
        <f t="shared" si="25"/>
        <v>135254.36124173971</v>
      </c>
      <c r="BF14" s="119">
        <f t="shared" si="26"/>
        <v>672319.8823784407</v>
      </c>
      <c r="BH14" s="257">
        <f>'Op Cost - Performance'!F4</f>
        <v>3065339</v>
      </c>
      <c r="BI14" s="182">
        <f t="shared" si="27"/>
        <v>0.21932969970970281</v>
      </c>
      <c r="BJ14" s="183">
        <f t="shared" si="28"/>
        <v>672319.8823784407</v>
      </c>
      <c r="BK14" s="138">
        <f t="shared" si="29"/>
        <v>0</v>
      </c>
      <c r="BM14" s="52">
        <f t="shared" si="30"/>
        <v>672319.8823784407</v>
      </c>
      <c r="BN14" s="184">
        <f t="shared" si="31"/>
        <v>5.5527698312808939E-3</v>
      </c>
      <c r="BO14" s="259">
        <f t="shared" si="32"/>
        <v>9088.9560106532808</v>
      </c>
      <c r="BP14" s="259">
        <f t="shared" si="46"/>
        <v>681408.83838909399</v>
      </c>
      <c r="BQ14" s="185">
        <f t="shared" si="47"/>
        <v>0.22229477339670881</v>
      </c>
      <c r="BR14" s="142">
        <f t="shared" si="33"/>
        <v>0</v>
      </c>
      <c r="BS14" s="11"/>
      <c r="BT14" s="256">
        <f t="shared" si="34"/>
        <v>3065339</v>
      </c>
      <c r="BU14" s="186">
        <f t="shared" si="48"/>
        <v>0.22229477339670881</v>
      </c>
      <c r="BV14" s="187">
        <f t="shared" si="35"/>
        <v>681408.83838909399</v>
      </c>
      <c r="BW14" s="143">
        <f t="shared" si="36"/>
        <v>0</v>
      </c>
      <c r="BY14" s="52">
        <f t="shared" si="49"/>
        <v>681408.83838909399</v>
      </c>
      <c r="BZ14" s="188">
        <f t="shared" si="37"/>
        <v>5.5527698312808956E-3</v>
      </c>
      <c r="CA14" s="189">
        <f t="shared" si="38"/>
        <v>0</v>
      </c>
      <c r="CB14" s="147">
        <f t="shared" si="50"/>
        <v>681408.83838909399</v>
      </c>
      <c r="CC14" s="190">
        <f t="shared" si="51"/>
        <v>0.22229477339670881</v>
      </c>
      <c r="CD14" s="148">
        <f t="shared" si="39"/>
        <v>0</v>
      </c>
      <c r="CE14" s="97"/>
      <c r="CF14" s="154">
        <f t="shared" si="40"/>
        <v>919601.7</v>
      </c>
      <c r="CG14" s="189">
        <f t="shared" si="41"/>
        <v>0</v>
      </c>
      <c r="CH14" s="266">
        <f t="shared" si="42"/>
        <v>681408.83838909399</v>
      </c>
      <c r="CI14" s="155">
        <f t="shared" si="43"/>
        <v>0.22229477339670881</v>
      </c>
      <c r="CJ14" s="275">
        <v>681012.57966416562</v>
      </c>
      <c r="CK14" s="276">
        <f t="shared" si="44"/>
        <v>5.8186696804305555E-4</v>
      </c>
      <c r="CL14" s="277">
        <f t="shared" si="52"/>
        <v>6.4119113786659668E-3</v>
      </c>
      <c r="CM14" s="278">
        <f>'Ridership'!P4</f>
        <v>1.7105803815174014E-2</v>
      </c>
      <c r="CN14" s="277">
        <f t="shared" si="53"/>
        <v>0</v>
      </c>
      <c r="CO14" s="279"/>
    </row>
    <row r="15" spans="1:94">
      <c r="A15" s="71" t="s">
        <v>219</v>
      </c>
      <c r="B15" s="240" t="s">
        <v>45</v>
      </c>
      <c r="C15" s="27"/>
      <c r="D15" s="70">
        <f>'Op Cost - Performance'!F5</f>
        <v>2152505</v>
      </c>
      <c r="E15" s="175">
        <f>'Ridership'!$F5</f>
        <v>130587</v>
      </c>
      <c r="F15" s="175">
        <f>'Revenue Hours - Sizing'!F5</f>
        <v>43806</v>
      </c>
      <c r="G15" s="175">
        <f>'Revenue Miles - Sizing'!F5</f>
        <v>726302</v>
      </c>
      <c r="H15" s="176">
        <f t="shared" si="45"/>
        <v>4.2850512496163829E-3</v>
      </c>
      <c r="I15" s="110">
        <f t="shared" si="0"/>
        <v>4.2850512496163829E-3</v>
      </c>
      <c r="J15" s="111"/>
      <c r="K15" s="112">
        <f>'Ridership'!C5/'Revenue Hours'!B5</f>
        <v>2.5156324194636741</v>
      </c>
      <c r="L15" s="177">
        <f>'Ridership'!D5/'Revenue Hours'!C5</f>
        <v>2.7827345119658662</v>
      </c>
      <c r="M15" s="177">
        <f>'Ridership'!E5/'Revenue Hours'!D5</f>
        <v>2.9639290809048298</v>
      </c>
      <c r="N15" s="177">
        <f>'Ridership'!F5/'Revenue Hours'!E5</f>
        <v>2.9810299958909741</v>
      </c>
      <c r="O15" s="178">
        <f t="shared" si="1"/>
        <v>0.95810883044868023</v>
      </c>
      <c r="P15" s="179">
        <f t="shared" si="2"/>
        <v>4.1055454411826082E-3</v>
      </c>
      <c r="Q15" s="113">
        <f t="shared" si="3"/>
        <v>4.0645838646272249E-3</v>
      </c>
      <c r="R15" s="114">
        <f>'Ridership'!C5/'Revenue Miles'!C5</f>
        <v>0.15736959607772016</v>
      </c>
      <c r="S15" s="177">
        <f>'Ridership'!D5/'Revenue Miles'!D5</f>
        <v>0.16460220997236286</v>
      </c>
      <c r="T15" s="177">
        <f>'Ridership'!E5/'Revenue Miles'!E5</f>
        <v>0.17559609249863839</v>
      </c>
      <c r="U15" s="177">
        <f>'Ridership'!F5/'Revenue Miles'!F5</f>
        <v>0.17979710919149336</v>
      </c>
      <c r="V15" s="178">
        <f t="shared" si="4"/>
        <v>0.94466806543605675</v>
      </c>
      <c r="W15" s="179">
        <f t="shared" si="5"/>
        <v>4.0479510742694657E-3</v>
      </c>
      <c r="X15" s="113">
        <f t="shared" si="6"/>
        <v>4.0005998425500866E-3</v>
      </c>
      <c r="Y15" s="262">
        <f>'Op Cost - Performance'!C5/'Revenue Hours'!B5</f>
        <v>54.154224876915002</v>
      </c>
      <c r="Z15" s="263">
        <f>'Op Cost - Performance'!D5/'Revenue Hours'!C5</f>
        <v>45.459899034704179</v>
      </c>
      <c r="AA15" s="263">
        <f>'Op Cost - Performance'!E5/'Revenue Hours'!D5</f>
        <v>48.817313135430112</v>
      </c>
      <c r="AB15" s="263">
        <f>'Op Cost - Performance'!F5/'Revenue Hours'!E5</f>
        <v>49.137218645847604</v>
      </c>
      <c r="AC15" s="178">
        <f t="shared" si="7"/>
        <v>0.91423099191443613</v>
      </c>
      <c r="AD15" s="179">
        <f t="shared" si="8"/>
        <v>4.6870553366860981E-3</v>
      </c>
      <c r="AE15" s="113">
        <f t="shared" si="9"/>
        <v>4.6732351602807266E-3</v>
      </c>
      <c r="AF15" s="262">
        <f>'Op Cost - Performance'!C5/'Revenue Miles'!C5</f>
        <v>3.3877081678725758</v>
      </c>
      <c r="AG15" s="263">
        <f>'Op Cost - Performance'!D5/'Revenue Miles'!D5</f>
        <v>2.689009610531103</v>
      </c>
      <c r="AH15" s="263">
        <f>'Op Cost - Performance'!E5/'Revenue Miles'!E5</f>
        <v>2.8921506550511245</v>
      </c>
      <c r="AI15" s="263">
        <f>'Op Cost - Performance'!F5/'Revenue Miles'!F5</f>
        <v>2.9636501069802921</v>
      </c>
      <c r="AJ15" s="178">
        <f t="shared" si="10"/>
        <v>0.90392809760680848</v>
      </c>
      <c r="AK15" s="179">
        <f t="shared" si="11"/>
        <v>4.7404779881953605E-3</v>
      </c>
      <c r="AL15" s="113">
        <f t="shared" si="12"/>
        <v>4.7355146633077834E-3</v>
      </c>
      <c r="AM15" s="262">
        <f>'Op Cost - Performance'!C5/'Ridership'!C5</f>
        <v>21.527081801744522</v>
      </c>
      <c r="AN15" s="263">
        <f>'Op Cost - Performance'!D5/'Ridership'!D5</f>
        <v>16.33641256081917</v>
      </c>
      <c r="AO15" s="263">
        <f>'Op Cost - Performance'!E5/'Ridership'!E5</f>
        <v>16.470472741718616</v>
      </c>
      <c r="AP15" s="263">
        <f>'Op Cost - Performance'!F5/'Ridership'!F5</f>
        <v>16.483302319526445</v>
      </c>
      <c r="AQ15" s="264">
        <f t="shared" si="13"/>
        <v>0.95221765419397153</v>
      </c>
      <c r="AR15" s="179">
        <f t="shared" si="14"/>
        <v>4.50007540896054E-3</v>
      </c>
      <c r="AS15" s="115">
        <f t="shared" si="15"/>
        <v>4.4844051092905318E-3</v>
      </c>
      <c r="AT15" s="111"/>
      <c r="AU15" s="116">
        <f t="shared" si="16"/>
        <v>8.1291677292544501E-4</v>
      </c>
      <c r="AV15" s="180">
        <f t="shared" si="17"/>
        <v>8.0011996851001737E-4</v>
      </c>
      <c r="AW15" s="180">
        <f t="shared" si="18"/>
        <v>9.3464703205614532E-4</v>
      </c>
      <c r="AX15" s="180">
        <f t="shared" si="19"/>
        <v>9.4710293266155672E-4</v>
      </c>
      <c r="AY15" s="117">
        <f t="shared" si="20"/>
        <v>8.9688102185810645E-4</v>
      </c>
      <c r="AZ15" s="111"/>
      <c r="BA15" s="118">
        <f t="shared" si="21"/>
        <v>112833.00091040508</v>
      </c>
      <c r="BB15" s="181">
        <f t="shared" si="22"/>
        <v>111056.8020517445</v>
      </c>
      <c r="BC15" s="181">
        <f t="shared" si="23"/>
        <v>129729.18376303499</v>
      </c>
      <c r="BD15" s="181">
        <f t="shared" si="24"/>
        <v>131458.06510877542</v>
      </c>
      <c r="BE15" s="181">
        <f t="shared" si="25"/>
        <v>124487.25444753729</v>
      </c>
      <c r="BF15" s="119">
        <f t="shared" si="26"/>
        <v>609564.30628149724</v>
      </c>
      <c r="BH15" s="257">
        <f>'Op Cost - Performance'!F5</f>
        <v>2152505</v>
      </c>
      <c r="BI15" s="182">
        <f t="shared" si="27"/>
        <v>0.28318833465264759</v>
      </c>
      <c r="BJ15" s="183">
        <f t="shared" si="28"/>
        <v>609564.30628149724</v>
      </c>
      <c r="BK15" s="138">
        <f t="shared" si="29"/>
        <v>0</v>
      </c>
      <c r="BM15" s="52">
        <f t="shared" si="30"/>
        <v>609564.30628149724</v>
      </c>
      <c r="BN15" s="184">
        <f t="shared" si="31"/>
        <v>5.0344640681625986E-3</v>
      </c>
      <c r="BO15" s="259">
        <f t="shared" si="32"/>
        <v>8240.5761166205448</v>
      </c>
      <c r="BP15" s="259">
        <f t="shared" si="46"/>
        <v>617804.8823981178</v>
      </c>
      <c r="BQ15" s="185">
        <f t="shared" si="47"/>
        <v>0.2870167002623073</v>
      </c>
      <c r="BR15" s="142">
        <f t="shared" si="33"/>
        <v>0</v>
      </c>
      <c r="BS15" s="11"/>
      <c r="BT15" s="256">
        <f t="shared" si="34"/>
        <v>2152505</v>
      </c>
      <c r="BU15" s="186">
        <f t="shared" si="48"/>
        <v>0.2870167002623073</v>
      </c>
      <c r="BV15" s="187">
        <f t="shared" si="35"/>
        <v>617804.8823981178</v>
      </c>
      <c r="BW15" s="143">
        <f t="shared" si="36"/>
        <v>0</v>
      </c>
      <c r="BY15" s="52">
        <f t="shared" si="49"/>
        <v>617804.8823981178</v>
      </c>
      <c r="BZ15" s="188">
        <f t="shared" si="37"/>
        <v>5.0344640681626003E-3</v>
      </c>
      <c r="CA15" s="189">
        <f t="shared" si="38"/>
        <v>0</v>
      </c>
      <c r="CB15" s="147">
        <f t="shared" si="50"/>
        <v>617804.8823981178</v>
      </c>
      <c r="CC15" s="190">
        <f t="shared" si="51"/>
        <v>0.2870167002623073</v>
      </c>
      <c r="CD15" s="148">
        <f t="shared" si="39"/>
        <v>0</v>
      </c>
      <c r="CE15" s="97"/>
      <c r="CF15" s="154">
        <f t="shared" si="40"/>
        <v>645751.5</v>
      </c>
      <c r="CG15" s="189">
        <f t="shared" si="41"/>
        <v>0</v>
      </c>
      <c r="CH15" s="266">
        <f t="shared" si="42"/>
        <v>617804.8823981178</v>
      </c>
      <c r="CI15" s="155">
        <f t="shared" si="43"/>
        <v>0.2870167002623073</v>
      </c>
      <c r="CJ15" s="275">
        <v>632074.60517037171</v>
      </c>
      <c r="CK15" s="276">
        <f t="shared" si="44"/>
        <v>-2.2576010261332359E-2</v>
      </c>
      <c r="CL15" s="277">
        <f t="shared" si="52"/>
        <v>-0.24877744403735483</v>
      </c>
      <c r="CM15" s="278">
        <f>'Ridership'!P5</f>
        <v>-2.3606527319398607E-3</v>
      </c>
      <c r="CN15" s="277">
        <f t="shared" si="53"/>
        <v>9.5634609681791591</v>
      </c>
      <c r="CO15" s="280">
        <f>CJ15-CH15</f>
        <v>14269.72277225391</v>
      </c>
      <c r="CP15" s="272"/>
    </row>
    <row r="16" spans="1:94">
      <c r="A16" s="71" t="s">
        <v>219</v>
      </c>
      <c r="B16" s="240" t="s">
        <v>58</v>
      </c>
      <c r="C16" s="27"/>
      <c r="D16" s="70">
        <f>'Op Cost - Performance'!F6</f>
        <v>458740</v>
      </c>
      <c r="E16" s="175">
        <f>'Ridership'!$F6</f>
        <v>31857</v>
      </c>
      <c r="F16" s="175">
        <f>'Revenue Hours - Sizing'!F6</f>
        <v>7975</v>
      </c>
      <c r="G16" s="175">
        <f>'Revenue Miles - Sizing'!F6</f>
        <v>124910</v>
      </c>
      <c r="H16" s="176">
        <f t="shared" si="45"/>
        <v>8.6229541286258853E-4</v>
      </c>
      <c r="I16" s="110">
        <f t="shared" si="0"/>
        <v>8.6229541286258853E-4</v>
      </c>
      <c r="J16" s="111"/>
      <c r="K16" s="112">
        <f>'Ridership'!C6/'Revenue Hours'!B6</f>
        <v>3.650582779796967</v>
      </c>
      <c r="L16" s="177">
        <f>'Ridership'!D6/'Revenue Hours'!C6</f>
        <v>3.815299877600979</v>
      </c>
      <c r="M16" s="177">
        <f>'Ridership'!E6/'Revenue Hours'!D6</f>
        <v>4.0689275220372183</v>
      </c>
      <c r="N16" s="177">
        <f>'Ridership'!F6/'Revenue Hours'!E6</f>
        <v>3.9946081504702193</v>
      </c>
      <c r="O16" s="178">
        <f t="shared" si="1"/>
        <v>0.9337958988025955</v>
      </c>
      <c r="P16" s="179">
        <f t="shared" si="2"/>
        <v>8.0520792008737603E-4</v>
      </c>
      <c r="Q16" s="113">
        <f t="shared" si="3"/>
        <v>7.9717425285992006E-4</v>
      </c>
      <c r="R16" s="114">
        <f>'Ridership'!C6/'Revenue Miles'!C6</f>
        <v>0.22496138399752857</v>
      </c>
      <c r="S16" s="177">
        <f>'Ridership'!D6/'Revenue Miles'!D6</f>
        <v>0.23446890772737189</v>
      </c>
      <c r="T16" s="177">
        <f>'Ridership'!E6/'Revenue Miles'!E6</f>
        <v>0.2617547452154052</v>
      </c>
      <c r="U16" s="177">
        <f>'Ridership'!F6/'Revenue Miles'!F6</f>
        <v>0.25503962853254342</v>
      </c>
      <c r="V16" s="178">
        <f t="shared" si="4"/>
        <v>0.94346355155785799</v>
      </c>
      <c r="W16" s="179">
        <f t="shared" si="5"/>
        <v>8.1354429271138728E-4</v>
      </c>
      <c r="X16" s="113">
        <f t="shared" si="6"/>
        <v>8.0402779322525958E-4</v>
      </c>
      <c r="Y16" s="262">
        <f>'Op Cost - Performance'!C6/'Revenue Hours'!B6</f>
        <v>59.664118310565236</v>
      </c>
      <c r="Z16" s="263">
        <f>'Op Cost - Performance'!D6/'Revenue Hours'!C6</f>
        <v>55.822399020807836</v>
      </c>
      <c r="AA16" s="263">
        <f>'Op Cost - Performance'!E6/'Revenue Hours'!D6</f>
        <v>54.804725759059743</v>
      </c>
      <c r="AB16" s="263">
        <f>'Op Cost - Performance'!F6/'Revenue Hours'!E6</f>
        <v>57.522257053291533</v>
      </c>
      <c r="AC16" s="178">
        <f t="shared" si="7"/>
        <v>0.92741593906333508</v>
      </c>
      <c r="AD16" s="179">
        <f t="shared" si="8"/>
        <v>9.2978282617558138E-4</v>
      </c>
      <c r="AE16" s="113">
        <f t="shared" si="9"/>
        <v>9.2704128340439737E-4</v>
      </c>
      <c r="AF16" s="262">
        <f>'Op Cost - Performance'!C6/'Revenue Miles'!C6</f>
        <v>3.6767068273092369</v>
      </c>
      <c r="AG16" s="263">
        <f>'Op Cost - Performance'!D6/'Revenue Miles'!D6</f>
        <v>3.4305604657635227</v>
      </c>
      <c r="AH16" s="263">
        <f>'Op Cost - Performance'!E6/'Revenue Miles'!E6</f>
        <v>3.5255965976214854</v>
      </c>
      <c r="AI16" s="263">
        <f>'Op Cost - Performance'!F6/'Revenue Miles'!F6</f>
        <v>3.6725642462573052</v>
      </c>
      <c r="AJ16" s="178">
        <f t="shared" si="10"/>
        <v>0.93627299963173005</v>
      </c>
      <c r="AK16" s="179">
        <f t="shared" si="11"/>
        <v>9.2098716207960761E-4</v>
      </c>
      <c r="AL16" s="113">
        <f t="shared" si="12"/>
        <v>9.2002287988821854E-4</v>
      </c>
      <c r="AM16" s="262">
        <f>'Op Cost - Performance'!C6/'Ridership'!C6</f>
        <v>16.343724251579236</v>
      </c>
      <c r="AN16" s="263">
        <f>'Op Cost - Performance'!D6/'Ridership'!D6</f>
        <v>14.631195662635141</v>
      </c>
      <c r="AO16" s="263">
        <f>'Op Cost - Performance'!E6/'Ridership'!E6</f>
        <v>13.469083797201746</v>
      </c>
      <c r="AP16" s="263">
        <f>'Op Cost - Performance'!F6/'Ridership'!F6</f>
        <v>14.399974887779766</v>
      </c>
      <c r="AQ16" s="264">
        <f t="shared" si="13"/>
        <v>0.99390803361348856</v>
      </c>
      <c r="AR16" s="179">
        <f t="shared" si="14"/>
        <v>8.6758068523462442E-4</v>
      </c>
      <c r="AS16" s="115">
        <f t="shared" si="15"/>
        <v>8.6455956934432926E-4</v>
      </c>
      <c r="AT16" s="111"/>
      <c r="AU16" s="116">
        <f t="shared" si="16"/>
        <v>1.5943485057198401E-4</v>
      </c>
      <c r="AV16" s="180">
        <f t="shared" si="17"/>
        <v>1.6080555864505193E-4</v>
      </c>
      <c r="AW16" s="180">
        <f t="shared" si="18"/>
        <v>1.8540825668087948E-4</v>
      </c>
      <c r="AX16" s="180">
        <f t="shared" si="19"/>
        <v>1.8400457597764371E-4</v>
      </c>
      <c r="AY16" s="117">
        <f t="shared" si="20"/>
        <v>1.7291191386886587E-4</v>
      </c>
      <c r="AZ16" s="111"/>
      <c r="BA16" s="118">
        <f t="shared" si="21"/>
        <v>22129.587233143287</v>
      </c>
      <c r="BB16" s="181">
        <f t="shared" si="22"/>
        <v>22319.841771378233</v>
      </c>
      <c r="BC16" s="181">
        <f t="shared" si="23"/>
        <v>25734.700884058329</v>
      </c>
      <c r="BD16" s="181">
        <f t="shared" si="24"/>
        <v>25539.86973855723</v>
      </c>
      <c r="BE16" s="181">
        <f t="shared" si="25"/>
        <v>24000.20615243839</v>
      </c>
      <c r="BF16" s="119">
        <f t="shared" si="26"/>
        <v>119724.20577957547</v>
      </c>
      <c r="BH16" s="257">
        <f>'Op Cost - Performance'!F6</f>
        <v>458740</v>
      </c>
      <c r="BI16" s="182">
        <f t="shared" si="27"/>
        <v>0.26098488420363486</v>
      </c>
      <c r="BJ16" s="183">
        <f t="shared" si="28"/>
        <v>119724.20577957547</v>
      </c>
      <c r="BK16" s="138">
        <f t="shared" si="29"/>
        <v>0</v>
      </c>
      <c r="BM16" s="52">
        <f t="shared" si="30"/>
        <v>119724.20577957547</v>
      </c>
      <c r="BN16" s="184">
        <f t="shared" si="31"/>
        <v>9.8881644787158596E-4</v>
      </c>
      <c r="BO16" s="259">
        <f t="shared" si="32"/>
        <v>1618.5272342257551</v>
      </c>
      <c r="BP16" s="259">
        <f t="shared" si="46"/>
        <v>121342.73301380122</v>
      </c>
      <c r="BQ16" s="185">
        <f t="shared" si="47"/>
        <v>0.26451308587391814</v>
      </c>
      <c r="BR16" s="142">
        <f t="shared" si="33"/>
        <v>0</v>
      </c>
      <c r="BS16" s="11"/>
      <c r="BT16" s="256">
        <f t="shared" si="34"/>
        <v>458740</v>
      </c>
      <c r="BU16" s="186">
        <f t="shared" si="48"/>
        <v>0.26451308587391814</v>
      </c>
      <c r="BV16" s="187">
        <f t="shared" si="35"/>
        <v>121342.73301380122</v>
      </c>
      <c r="BW16" s="143">
        <f t="shared" si="36"/>
        <v>0</v>
      </c>
      <c r="BY16" s="52">
        <f t="shared" si="49"/>
        <v>121342.73301380122</v>
      </c>
      <c r="BZ16" s="188">
        <f t="shared" si="37"/>
        <v>9.8881644787158639E-4</v>
      </c>
      <c r="CA16" s="189">
        <f t="shared" si="38"/>
        <v>0</v>
      </c>
      <c r="CB16" s="147">
        <f t="shared" si="50"/>
        <v>121342.73301380122</v>
      </c>
      <c r="CC16" s="190">
        <f t="shared" si="51"/>
        <v>0.26451308587391814</v>
      </c>
      <c r="CD16" s="148">
        <f t="shared" si="39"/>
        <v>0</v>
      </c>
      <c r="CE16" s="97"/>
      <c r="CF16" s="154">
        <f t="shared" si="40"/>
        <v>137622</v>
      </c>
      <c r="CG16" s="189">
        <f t="shared" si="41"/>
        <v>0</v>
      </c>
      <c r="CH16" s="266">
        <f t="shared" si="42"/>
        <v>121342.73301380122</v>
      </c>
      <c r="CI16" s="155">
        <f t="shared" si="43"/>
        <v>0.26451308587391814</v>
      </c>
      <c r="CJ16" s="275">
        <v>109205.62416606396</v>
      </c>
      <c r="CK16" s="276">
        <f t="shared" si="44"/>
        <v>0.11113996133826323</v>
      </c>
      <c r="CL16" s="277">
        <f t="shared" si="52"/>
        <v>1.2247122140753228</v>
      </c>
      <c r="CM16" s="278">
        <f>'Ridership'!P6</f>
        <v>-4.1462313825786072E-2</v>
      </c>
      <c r="CN16" s="277">
        <f t="shared" si="53"/>
        <v>0</v>
      </c>
      <c r="CO16" s="279"/>
    </row>
    <row r="17" spans="1:93">
      <c r="A17" s="71" t="s">
        <v>220</v>
      </c>
      <c r="B17" s="240" t="s">
        <v>26</v>
      </c>
      <c r="C17" s="27"/>
      <c r="D17" s="70">
        <f>'Op Cost - Performance'!F7</f>
        <v>19397700</v>
      </c>
      <c r="E17" s="175">
        <f>'Ridership'!$F7</f>
        <v>1552117</v>
      </c>
      <c r="F17" s="175">
        <f>'Revenue Hours - Sizing'!F7</f>
        <v>144029</v>
      </c>
      <c r="G17" s="175">
        <f>'Revenue Miles - Sizing'!F7</f>
        <v>1616127</v>
      </c>
      <c r="H17" s="176">
        <f t="shared" si="45"/>
        <v>2.8198246404459462E-2</v>
      </c>
      <c r="I17" s="110">
        <f t="shared" si="0"/>
        <v>2.8198246404459462E-2</v>
      </c>
      <c r="J17" s="111"/>
      <c r="K17" s="112">
        <f>'Ridership'!C7/'Revenue Hours'!B7</f>
        <v>13.15305492915798</v>
      </c>
      <c r="L17" s="177">
        <f>'Ridership'!D7/'Revenue Hours'!C7</f>
        <v>10.956321576014718</v>
      </c>
      <c r="M17" s="177">
        <f>'Ridership'!E7/'Revenue Hours'!D7</f>
        <v>11.531822689331532</v>
      </c>
      <c r="N17" s="177">
        <f>'Ridership'!F7/'Revenue Hours'!E7</f>
        <v>10.776420026522436</v>
      </c>
      <c r="O17" s="178">
        <f t="shared" si="1"/>
        <v>0.85489386787456978</v>
      </c>
      <c r="P17" s="179">
        <f t="shared" si="2"/>
        <v>2.4106507935988529E-2</v>
      </c>
      <c r="Q17" s="113">
        <f t="shared" si="3"/>
        <v>2.3865994078707115E-2</v>
      </c>
      <c r="R17" s="114">
        <f>'Ridership'!C7/'Revenue Miles'!C7</f>
        <v>1.0437083935072138</v>
      </c>
      <c r="S17" s="177">
        <f>'Ridership'!D7/'Revenue Miles'!D7</f>
        <v>1.0015167534877283</v>
      </c>
      <c r="T17" s="177">
        <f>'Ridership'!E7/'Revenue Miles'!E7</f>
        <v>1.0699817065439858</v>
      </c>
      <c r="U17" s="177">
        <f>'Ridership'!F7/'Revenue Miles'!F7</f>
        <v>0.9603929641668012</v>
      </c>
      <c r="V17" s="178">
        <f t="shared" si="4"/>
        <v>0.88134667411737999</v>
      </c>
      <c r="W17" s="179">
        <f t="shared" si="5"/>
        <v>2.4852430684512716E-2</v>
      </c>
      <c r="X17" s="113">
        <f t="shared" si="6"/>
        <v>2.4561717387207225E-2</v>
      </c>
      <c r="Y17" s="262">
        <f>'Op Cost - Performance'!C7/'Revenue Hours'!B7</f>
        <v>137.78897374803216</v>
      </c>
      <c r="Z17" s="263">
        <f>'Op Cost - Performance'!D7/'Revenue Hours'!C7</f>
        <v>129.86446660739594</v>
      </c>
      <c r="AA17" s="263">
        <f>'Op Cost - Performance'!E7/'Revenue Hours'!D7</f>
        <v>113.07535781492788</v>
      </c>
      <c r="AB17" s="263">
        <f>'Op Cost - Performance'!F7/'Revenue Hours'!E7</f>
        <v>134.67912712023272</v>
      </c>
      <c r="AC17" s="178">
        <f t="shared" si="7"/>
        <v>0.93781121915849575</v>
      </c>
      <c r="AD17" s="179">
        <f t="shared" si="8"/>
        <v>3.0068147862169891E-2</v>
      </c>
      <c r="AE17" s="113">
        <f t="shared" si="9"/>
        <v>2.9979489402265344E-2</v>
      </c>
      <c r="AF17" s="262">
        <f>'Op Cost - Performance'!C7/'Revenue Miles'!C7</f>
        <v>10.933696332002826</v>
      </c>
      <c r="AG17" s="263">
        <f>'Op Cost - Performance'!D7/'Revenue Miles'!D7</f>
        <v>11.870903759778434</v>
      </c>
      <c r="AH17" s="263">
        <f>'Op Cost - Performance'!E7/'Revenue Miles'!E7</f>
        <v>10.491712158808934</v>
      </c>
      <c r="AI17" s="263">
        <f>'Op Cost - Performance'!F7/'Revenue Miles'!F7</f>
        <v>12.002583955345093</v>
      </c>
      <c r="AJ17" s="178">
        <f t="shared" si="10"/>
        <v>0.96841629016192654</v>
      </c>
      <c r="AK17" s="179">
        <f t="shared" si="11"/>
        <v>2.9117897634440351E-2</v>
      </c>
      <c r="AL17" s="113">
        <f t="shared" si="12"/>
        <v>2.9087410922686217E-2</v>
      </c>
      <c r="AM17" s="262">
        <f>'Op Cost - Performance'!C7/'Ridership'!C7</f>
        <v>10.475815275626847</v>
      </c>
      <c r="AN17" s="263">
        <f>'Op Cost - Performance'!D7/'Ridership'!D7</f>
        <v>11.852925793241749</v>
      </c>
      <c r="AO17" s="263">
        <f>'Op Cost - Performance'!E7/'Ridership'!E7</f>
        <v>9.8055061078538444</v>
      </c>
      <c r="AP17" s="263">
        <f>'Op Cost - Performance'!F7/'Ridership'!F7</f>
        <v>12.497575891508179</v>
      </c>
      <c r="AQ17" s="178">
        <f t="shared" si="13"/>
        <v>1.1150423863988028</v>
      </c>
      <c r="AR17" s="179">
        <f t="shared" si="14"/>
        <v>2.5288945737327477E-2</v>
      </c>
      <c r="AS17" s="115">
        <f t="shared" si="15"/>
        <v>2.520088380013118E-2</v>
      </c>
      <c r="AT17" s="111"/>
      <c r="AU17" s="116">
        <f t="shared" si="16"/>
        <v>4.7731988157414234E-3</v>
      </c>
      <c r="AV17" s="180">
        <f t="shared" si="17"/>
        <v>4.9123434774414453E-3</v>
      </c>
      <c r="AW17" s="180">
        <f t="shared" si="18"/>
        <v>5.995897880453069E-3</v>
      </c>
      <c r="AX17" s="180">
        <f t="shared" si="19"/>
        <v>5.8174821845372437E-3</v>
      </c>
      <c r="AY17" s="117">
        <f t="shared" si="20"/>
        <v>5.0401767600262368E-3</v>
      </c>
      <c r="AZ17" s="111"/>
      <c r="BA17" s="118">
        <f t="shared" si="21"/>
        <v>662520.8929862869</v>
      </c>
      <c r="BB17" s="181">
        <f t="shared" si="22"/>
        <v>681834.19818944635</v>
      </c>
      <c r="BC17" s="181">
        <f t="shared" si="23"/>
        <v>832231.75303568749</v>
      </c>
      <c r="BD17" s="181">
        <f t="shared" si="24"/>
        <v>807467.62090042012</v>
      </c>
      <c r="BE17" s="181">
        <f t="shared" si="25"/>
        <v>699577.48184487259</v>
      </c>
      <c r="BF17" s="119">
        <f t="shared" si="26"/>
        <v>3683631.9469567132</v>
      </c>
      <c r="BH17" s="257">
        <f>'Op Cost - Performance'!F7</f>
        <v>19397700</v>
      </c>
      <c r="BI17" s="182">
        <f t="shared" si="27"/>
        <v>0.18990044938094275</v>
      </c>
      <c r="BJ17" s="183">
        <f t="shared" si="28"/>
        <v>3683631.9469567132</v>
      </c>
      <c r="BK17" s="138">
        <f t="shared" si="29"/>
        <v>0</v>
      </c>
      <c r="BM17" s="52">
        <f t="shared" si="30"/>
        <v>3683631.9469567132</v>
      </c>
      <c r="BN17" s="184">
        <f t="shared" si="31"/>
        <v>3.0423554145451E-2</v>
      </c>
      <c r="BO17" s="259">
        <f t="shared" si="32"/>
        <v>49798.272523020481</v>
      </c>
      <c r="BP17" s="259">
        <f t="shared" si="46"/>
        <v>3733430.2194797336</v>
      </c>
      <c r="BQ17" s="185">
        <f t="shared" si="47"/>
        <v>0.19246767500681697</v>
      </c>
      <c r="BR17" s="142">
        <f t="shared" si="33"/>
        <v>0</v>
      </c>
      <c r="BS17" s="11"/>
      <c r="BT17" s="256">
        <f t="shared" si="34"/>
        <v>19397700</v>
      </c>
      <c r="BU17" s="186">
        <f t="shared" si="48"/>
        <v>0.19246767500681697</v>
      </c>
      <c r="BV17" s="187">
        <f t="shared" si="35"/>
        <v>3733430.2194797336</v>
      </c>
      <c r="BW17" s="143">
        <f t="shared" si="36"/>
        <v>0</v>
      </c>
      <c r="BY17" s="52">
        <f t="shared" si="49"/>
        <v>3733430.2194797336</v>
      </c>
      <c r="BZ17" s="188">
        <f t="shared" si="37"/>
        <v>3.0423554145451007E-2</v>
      </c>
      <c r="CA17" s="189">
        <f t="shared" si="38"/>
        <v>0</v>
      </c>
      <c r="CB17" s="147">
        <f t="shared" si="50"/>
        <v>3733430.2194797336</v>
      </c>
      <c r="CC17" s="190">
        <f t="shared" si="51"/>
        <v>0.19246767500681697</v>
      </c>
      <c r="CD17" s="148">
        <f t="shared" si="39"/>
        <v>0</v>
      </c>
      <c r="CE17" s="97"/>
      <c r="CF17" s="154">
        <f t="shared" si="40"/>
        <v>5819310</v>
      </c>
      <c r="CG17" s="189">
        <f t="shared" si="41"/>
        <v>0</v>
      </c>
      <c r="CH17" s="266">
        <f t="shared" si="42"/>
        <v>3733430.2194797336</v>
      </c>
      <c r="CI17" s="155">
        <f t="shared" si="43"/>
        <v>0.19246767500681697</v>
      </c>
      <c r="CJ17" s="275">
        <v>3555341.5023277341</v>
      </c>
      <c r="CK17" s="276">
        <f t="shared" si="44"/>
        <v>5.0090467268869163E-2</v>
      </c>
      <c r="CL17" s="277">
        <f t="shared" si="52"/>
        <v>0.55197434238987741</v>
      </c>
      <c r="CM17" s="278">
        <f>'Ridership'!P7</f>
        <v>5.0951032217481713E-2</v>
      </c>
      <c r="CN17" s="277">
        <f t="shared" si="53"/>
        <v>0</v>
      </c>
      <c r="CO17" s="279"/>
    </row>
    <row r="18" spans="1:93">
      <c r="A18" s="71" t="s">
        <v>221</v>
      </c>
      <c r="B18" s="240" t="s">
        <v>37</v>
      </c>
      <c r="C18" s="27"/>
      <c r="D18" s="70">
        <f>'Op Cost - Performance'!F8</f>
        <v>5394452</v>
      </c>
      <c r="E18" s="175">
        <f>'Ridership'!$F8</f>
        <v>323706</v>
      </c>
      <c r="F18" s="175">
        <f>'Revenue Hours - Sizing'!F8</f>
        <v>38381</v>
      </c>
      <c r="G18" s="175">
        <f>'Revenue Miles - Sizing'!F8</f>
        <v>532870</v>
      </c>
      <c r="H18" s="191">
        <f t="shared" si="45"/>
        <v>7.3774722519769293E-3</v>
      </c>
      <c r="I18" s="110">
        <f t="shared" si="0"/>
        <v>7.3774722519769293E-3</v>
      </c>
      <c r="J18" s="111"/>
      <c r="K18" s="112">
        <f>'Ridership'!C8/'Revenue Hours'!B8</f>
        <v>4.4669216251117509</v>
      </c>
      <c r="L18" s="177">
        <f>'Ridership'!D8/'Revenue Hours'!C8</f>
        <v>7.7552782335063606</v>
      </c>
      <c r="M18" s="177">
        <f>'Ridership'!E8/'Revenue Hours'!D8</f>
        <v>8.7410864535128319</v>
      </c>
      <c r="N18" s="177">
        <f>'Ridership'!F8/'Revenue Hours'!E8</f>
        <v>8.4340168312446266</v>
      </c>
      <c r="O18" s="178">
        <f t="shared" si="1"/>
        <v>1.1419753000737689</v>
      </c>
      <c r="P18" s="179">
        <f t="shared" si="2"/>
        <v>8.4248910887372574E-3</v>
      </c>
      <c r="Q18" s="113">
        <f t="shared" si="3"/>
        <v>8.3408348223419516E-3</v>
      </c>
      <c r="R18" s="114">
        <f>'Ridership'!C8/'Revenue Miles'!C8</f>
        <v>0.30066694525699961</v>
      </c>
      <c r="S18" s="177">
        <f>'Ridership'!D8/'Revenue Miles'!D8</f>
        <v>0.52558774529639718</v>
      </c>
      <c r="T18" s="177">
        <f>'Ridership'!E8/'Revenue Miles'!E8</f>
        <v>0.59910613719712735</v>
      </c>
      <c r="U18" s="177">
        <f>'Ridership'!F8/'Revenue Miles'!F8</f>
        <v>0.60747649520520952</v>
      </c>
      <c r="V18" s="178">
        <f t="shared" si="4"/>
        <v>1.1611398576907896</v>
      </c>
      <c r="W18" s="179">
        <f t="shared" si="5"/>
        <v>8.5662770807782406E-3</v>
      </c>
      <c r="X18" s="113">
        <f t="shared" si="6"/>
        <v>8.4660723689173045E-3</v>
      </c>
      <c r="Y18" s="262">
        <f>'Op Cost - Performance'!C8/'Revenue Hours'!B8</f>
        <v>112.67122777391477</v>
      </c>
      <c r="Z18" s="263">
        <f>'Op Cost - Performance'!D8/'Revenue Hours'!C8</f>
        <v>122.86288695839272</v>
      </c>
      <c r="AA18" s="263">
        <f>'Op Cost - Performance'!E8/'Revenue Hours'!D8</f>
        <v>138.48985065208245</v>
      </c>
      <c r="AB18" s="263">
        <f>'Op Cost - Performance'!F8/'Revenue Hours'!E8</f>
        <v>140.55006383366771</v>
      </c>
      <c r="AC18" s="178">
        <f t="shared" si="7"/>
        <v>1.0106605244264331</v>
      </c>
      <c r="AD18" s="179">
        <f t="shared" si="8"/>
        <v>7.299654111021868E-3</v>
      </c>
      <c r="AE18" s="113">
        <f t="shared" si="9"/>
        <v>7.2781304676539527E-3</v>
      </c>
      <c r="AF18" s="262">
        <f>'Op Cost - Performance'!C8/'Revenue Miles'!C8</f>
        <v>7.5838612620142083</v>
      </c>
      <c r="AG18" s="263">
        <f>'Op Cost - Performance'!D8/'Revenue Miles'!D8</f>
        <v>8.3266165046243135</v>
      </c>
      <c r="AH18" s="263">
        <f>'Op Cost - Performance'!E8/'Revenue Miles'!E8</f>
        <v>9.4919687508447552</v>
      </c>
      <c r="AI18" s="263">
        <f>'Op Cost - Performance'!F8/'Revenue Miles'!F8</f>
        <v>10.123392196971119</v>
      </c>
      <c r="AJ18" s="178">
        <f t="shared" si="10"/>
        <v>1.0301113201013523</v>
      </c>
      <c r="AK18" s="179">
        <f t="shared" si="11"/>
        <v>7.1618203858307876E-3</v>
      </c>
      <c r="AL18" s="113">
        <f t="shared" si="12"/>
        <v>7.15432189275691E-3</v>
      </c>
      <c r="AM18" s="262">
        <f>'Op Cost - Performance'!C8/'Ridership'!C8</f>
        <v>25.223461978940815</v>
      </c>
      <c r="AN18" s="263">
        <f>'Op Cost - Performance'!D8/'Ridership'!D8</f>
        <v>15.842486015210735</v>
      </c>
      <c r="AO18" s="263">
        <f>'Op Cost - Performance'!E8/'Ridership'!E8</f>
        <v>15.843551186526332</v>
      </c>
      <c r="AP18" s="263">
        <f>'Op Cost - Performance'!F8/'Ridership'!F8</f>
        <v>16.664664850203579</v>
      </c>
      <c r="AQ18" s="264">
        <f t="shared" si="13"/>
        <v>0.91895745425483943</v>
      </c>
      <c r="AR18" s="179">
        <f t="shared" si="14"/>
        <v>8.0280890239463193E-3</v>
      </c>
      <c r="AS18" s="115">
        <f t="shared" si="15"/>
        <v>8.000133367796149E-3</v>
      </c>
      <c r="AT18" s="111"/>
      <c r="AU18" s="116">
        <f t="shared" si="16"/>
        <v>1.6681669644683904E-3</v>
      </c>
      <c r="AV18" s="180">
        <f t="shared" si="17"/>
        <v>1.693214473783461E-3</v>
      </c>
      <c r="AW18" s="180">
        <f t="shared" si="18"/>
        <v>1.4556260935307905E-3</v>
      </c>
      <c r="AX18" s="180">
        <f t="shared" si="19"/>
        <v>1.4308643785513821E-3</v>
      </c>
      <c r="AY18" s="117">
        <f t="shared" si="20"/>
        <v>1.6000266735592299E-3</v>
      </c>
      <c r="AZ18" s="111"/>
      <c r="BA18" s="118">
        <f t="shared" si="21"/>
        <v>231541.8882836019</v>
      </c>
      <c r="BB18" s="181">
        <f t="shared" si="22"/>
        <v>235018.48728546547</v>
      </c>
      <c r="BC18" s="181">
        <f t="shared" si="23"/>
        <v>202041.1754397793</v>
      </c>
      <c r="BD18" s="181">
        <f t="shared" si="24"/>
        <v>198604.24474543499</v>
      </c>
      <c r="BE18" s="181">
        <f t="shared" si="25"/>
        <v>222084.00309503573</v>
      </c>
      <c r="BF18" s="119">
        <f t="shared" si="26"/>
        <v>1089289.7988493172</v>
      </c>
      <c r="BH18" s="257">
        <f>'Op Cost - Performance'!F8</f>
        <v>5394452</v>
      </c>
      <c r="BI18" s="182">
        <f t="shared" si="27"/>
        <v>0.20192779523282758</v>
      </c>
      <c r="BJ18" s="183">
        <f t="shared" si="28"/>
        <v>1089289.7988493172</v>
      </c>
      <c r="BK18" s="138">
        <f t="shared" si="29"/>
        <v>0</v>
      </c>
      <c r="BM18" s="52">
        <f t="shared" si="30"/>
        <v>1089289.7988493172</v>
      </c>
      <c r="BN18" s="184">
        <f t="shared" si="31"/>
        <v>8.9965739391414459E-3</v>
      </c>
      <c r="BO18" s="259">
        <f t="shared" si="32"/>
        <v>14725.887667593817</v>
      </c>
      <c r="BP18" s="259">
        <f t="shared" si="46"/>
        <v>1104015.686516911</v>
      </c>
      <c r="BQ18" s="185">
        <f t="shared" si="47"/>
        <v>0.20465761610575292</v>
      </c>
      <c r="BR18" s="142">
        <f t="shared" si="33"/>
        <v>0</v>
      </c>
      <c r="BS18" s="11"/>
      <c r="BT18" s="256">
        <f t="shared" si="34"/>
        <v>5394452</v>
      </c>
      <c r="BU18" s="186">
        <f t="shared" si="48"/>
        <v>0.20465761610575292</v>
      </c>
      <c r="BV18" s="187">
        <f t="shared" si="35"/>
        <v>1104015.686516911</v>
      </c>
      <c r="BW18" s="143">
        <f t="shared" si="36"/>
        <v>0</v>
      </c>
      <c r="BY18" s="52">
        <f t="shared" si="49"/>
        <v>1104015.686516911</v>
      </c>
      <c r="BZ18" s="188">
        <f t="shared" si="37"/>
        <v>8.9965739391414477E-3</v>
      </c>
      <c r="CA18" s="189">
        <f t="shared" si="38"/>
        <v>0</v>
      </c>
      <c r="CB18" s="147">
        <f t="shared" si="50"/>
        <v>1104015.686516911</v>
      </c>
      <c r="CC18" s="190">
        <f t="shared" si="51"/>
        <v>0.20465761610575292</v>
      </c>
      <c r="CD18" s="148">
        <f t="shared" si="39"/>
        <v>0</v>
      </c>
      <c r="CE18" s="97"/>
      <c r="CF18" s="154">
        <f t="shared" si="40"/>
        <v>1618335.5999999999</v>
      </c>
      <c r="CG18" s="189">
        <f t="shared" si="41"/>
        <v>0</v>
      </c>
      <c r="CH18" s="266">
        <f t="shared" si="42"/>
        <v>1104015.686516911</v>
      </c>
      <c r="CI18" s="155">
        <f t="shared" si="43"/>
        <v>0.20465761610575292</v>
      </c>
      <c r="CJ18" s="275">
        <v>1077295.1346554393</v>
      </c>
      <c r="CK18" s="276">
        <f t="shared" si="44"/>
        <v>2.4803371891230157E-2</v>
      </c>
      <c r="CL18" s="277">
        <f t="shared" si="52"/>
        <v>0.27332196394227043</v>
      </c>
      <c r="CM18" s="278">
        <f>'Ridership'!P8</f>
        <v>-2.6275339082724454E-2</v>
      </c>
      <c r="CN18" s="277">
        <f t="shared" si="53"/>
        <v>0</v>
      </c>
      <c r="CO18" s="279"/>
    </row>
    <row r="19" spans="1:93">
      <c r="A19" s="71" t="s">
        <v>222</v>
      </c>
      <c r="B19" s="240" t="s">
        <v>31</v>
      </c>
      <c r="C19" s="27"/>
      <c r="D19" s="70">
        <f>'Op Cost - Performance'!F9</f>
        <v>2252994</v>
      </c>
      <c r="E19" s="175">
        <f>'Ridership'!$F9</f>
        <v>89631</v>
      </c>
      <c r="F19" s="175">
        <f>'Revenue Hours - Sizing'!F9</f>
        <v>24537</v>
      </c>
      <c r="G19" s="175">
        <f>'Revenue Miles - Sizing'!F9</f>
        <v>470169</v>
      </c>
      <c r="H19" s="191">
        <f t="shared" si="45"/>
        <v>3.3840749511054305E-3</v>
      </c>
      <c r="I19" s="110">
        <f t="shared" si="0"/>
        <v>3.3840749511054305E-3</v>
      </c>
      <c r="J19" s="111"/>
      <c r="K19" s="112">
        <f>'Ridership'!C9/'Revenue Hours'!B9</f>
        <v>3.4816356739753909</v>
      </c>
      <c r="L19" s="177">
        <f>'Ridership'!D9/'Revenue Hours'!C9</f>
        <v>3.3501561802766622</v>
      </c>
      <c r="M19" s="177">
        <f>'Ridership'!E9/'Revenue Hours'!D9</f>
        <v>3.1494107846229751</v>
      </c>
      <c r="N19" s="177">
        <f>'Ridership'!F9/'Revenue Hours'!E9</f>
        <v>3.6528915515344176</v>
      </c>
      <c r="O19" s="178">
        <f t="shared" si="1"/>
        <v>0.92705439318081295</v>
      </c>
      <c r="P19" s="179">
        <f t="shared" si="2"/>
        <v>3.1372215502754341E-3</v>
      </c>
      <c r="Q19" s="113">
        <f t="shared" si="3"/>
        <v>3.1059210708278629E-3</v>
      </c>
      <c r="R19" s="114">
        <f>'Ridership'!C9/'Revenue Miles'!C9</f>
        <v>0.18135424146189841</v>
      </c>
      <c r="S19" s="177">
        <f>'Ridership'!D9/'Revenue Miles'!D9</f>
        <v>0.16980829081171064</v>
      </c>
      <c r="T19" s="177">
        <f>'Ridership'!E9/'Revenue Miles'!E9</f>
        <v>0.16788284977030846</v>
      </c>
      <c r="U19" s="177">
        <f>'Ridership'!F9/'Revenue Miles'!F9</f>
        <v>0.19063570758599568</v>
      </c>
      <c r="V19" s="178">
        <f t="shared" si="4"/>
        <v>0.92466991769611839</v>
      </c>
      <c r="W19" s="179">
        <f t="shared" si="5"/>
        <v>3.1291523065161541E-3</v>
      </c>
      <c r="X19" s="113">
        <f t="shared" si="6"/>
        <v>3.0925487969300563E-3</v>
      </c>
      <c r="Y19" s="262">
        <f>'Op Cost - Performance'!C9/'Revenue Hours'!B9</f>
        <v>79.874363955962622</v>
      </c>
      <c r="Z19" s="263">
        <f>'Op Cost - Performance'!D9/'Revenue Hours'!C9</f>
        <v>87.91722445336903</v>
      </c>
      <c r="AA19" s="263">
        <f>'Op Cost - Performance'!E9/'Revenue Hours'!D9</f>
        <v>86.01201886136252</v>
      </c>
      <c r="AB19" s="263">
        <f>'Op Cost - Performance'!F9/'Revenue Hours'!E9</f>
        <v>91.820271426824789</v>
      </c>
      <c r="AC19" s="178">
        <f t="shared" si="7"/>
        <v>0.98234036032256267</v>
      </c>
      <c r="AD19" s="179">
        <f t="shared" si="8"/>
        <v>3.4449108351755301E-3</v>
      </c>
      <c r="AE19" s="113">
        <f t="shared" si="9"/>
        <v>3.4347532261816147E-3</v>
      </c>
      <c r="AF19" s="262">
        <f>'Op Cost - Performance'!C9/'Revenue Miles'!C9</f>
        <v>4.1605601630756928</v>
      </c>
      <c r="AG19" s="263">
        <f>'Op Cost - Performance'!D9/'Revenue Miles'!D9</f>
        <v>4.456232131871313</v>
      </c>
      <c r="AH19" s="263">
        <f>'Op Cost - Performance'!E9/'Revenue Miles'!E9</f>
        <v>4.5849664678377957</v>
      </c>
      <c r="AI19" s="263">
        <f>'Op Cost - Performance'!F9/'Revenue Miles'!F9</f>
        <v>4.7918812171793546</v>
      </c>
      <c r="AJ19" s="178">
        <f t="shared" si="10"/>
        <v>0.97973056223005706</v>
      </c>
      <c r="AK19" s="179">
        <f t="shared" si="11"/>
        <v>3.4540873598988471E-3</v>
      </c>
      <c r="AL19" s="113">
        <f t="shared" si="12"/>
        <v>3.4504708980568257E-3</v>
      </c>
      <c r="AM19" s="262">
        <f>'Op Cost - Performance'!C9/'Ridership'!C9</f>
        <v>22.941620386363031</v>
      </c>
      <c r="AN19" s="263">
        <f>'Op Cost - Performance'!D9/'Ridership'!D9</f>
        <v>26.242724136553139</v>
      </c>
      <c r="AO19" s="263">
        <f>'Op Cost - Performance'!E9/'Ridership'!E9</f>
        <v>27.310511312565808</v>
      </c>
      <c r="AP19" s="263">
        <f>'Op Cost - Performance'!F9/'Ridership'!F9</f>
        <v>25.136325601633363</v>
      </c>
      <c r="AQ19" s="264">
        <f t="shared" si="13"/>
        <v>1.0761338043932669</v>
      </c>
      <c r="AR19" s="179">
        <f t="shared" si="14"/>
        <v>3.1446600202410702E-3</v>
      </c>
      <c r="AS19" s="115">
        <f t="shared" si="15"/>
        <v>3.133709589326213E-3</v>
      </c>
      <c r="AT19" s="111"/>
      <c r="AU19" s="116">
        <f t="shared" si="16"/>
        <v>6.2118421416557264E-4</v>
      </c>
      <c r="AV19" s="180">
        <f t="shared" si="17"/>
        <v>6.1850975938601126E-4</v>
      </c>
      <c r="AW19" s="180">
        <f t="shared" si="18"/>
        <v>6.86950645236323E-4</v>
      </c>
      <c r="AX19" s="180">
        <f t="shared" si="19"/>
        <v>6.9009417961136521E-4</v>
      </c>
      <c r="AY19" s="117">
        <f t="shared" si="20"/>
        <v>6.2674191786524268E-4</v>
      </c>
      <c r="AZ19" s="111"/>
      <c r="BA19" s="118">
        <f t="shared" si="21"/>
        <v>86220.485708813751</v>
      </c>
      <c r="BB19" s="181">
        <f t="shared" si="22"/>
        <v>85849.270882613127</v>
      </c>
      <c r="BC19" s="181">
        <f t="shared" si="23"/>
        <v>95348.878705522933</v>
      </c>
      <c r="BD19" s="181">
        <f t="shared" si="24"/>
        <v>95785.201867763259</v>
      </c>
      <c r="BE19" s="181">
        <f t="shared" si="25"/>
        <v>86991.896027176248</v>
      </c>
      <c r="BF19" s="119">
        <f t="shared" si="26"/>
        <v>450195.7331918893</v>
      </c>
      <c r="BH19" s="257">
        <f>'Op Cost - Performance'!F9</f>
        <v>2252994</v>
      </c>
      <c r="BI19" s="182">
        <f t="shared" si="27"/>
        <v>0.19982109725631284</v>
      </c>
      <c r="BJ19" s="183">
        <f t="shared" si="28"/>
        <v>450195.7331918893</v>
      </c>
      <c r="BK19" s="138">
        <f t="shared" si="29"/>
        <v>0</v>
      </c>
      <c r="BM19" s="52">
        <f t="shared" si="30"/>
        <v>450195.7331918893</v>
      </c>
      <c r="BN19" s="184">
        <f t="shared" si="31"/>
        <v>3.7182200779125249E-3</v>
      </c>
      <c r="BO19" s="259">
        <f t="shared" si="32"/>
        <v>6086.104728435881</v>
      </c>
      <c r="BP19" s="259">
        <f t="shared" si="46"/>
        <v>456281.83792032517</v>
      </c>
      <c r="BQ19" s="185">
        <f t="shared" si="47"/>
        <v>0.20252243810694798</v>
      </c>
      <c r="BR19" s="142">
        <f t="shared" si="33"/>
        <v>0</v>
      </c>
      <c r="BS19" s="11"/>
      <c r="BT19" s="256">
        <f t="shared" si="34"/>
        <v>2252994</v>
      </c>
      <c r="BU19" s="186">
        <f t="shared" si="48"/>
        <v>0.20252243810694798</v>
      </c>
      <c r="BV19" s="187">
        <f t="shared" si="35"/>
        <v>456281.83792032517</v>
      </c>
      <c r="BW19" s="143">
        <f t="shared" si="36"/>
        <v>0</v>
      </c>
      <c r="BY19" s="52">
        <f t="shared" si="49"/>
        <v>456281.83792032517</v>
      </c>
      <c r="BZ19" s="188">
        <f t="shared" si="37"/>
        <v>3.7182200779125258E-3</v>
      </c>
      <c r="CA19" s="189">
        <f t="shared" si="38"/>
        <v>0</v>
      </c>
      <c r="CB19" s="147">
        <f t="shared" si="50"/>
        <v>456281.83792032517</v>
      </c>
      <c r="CC19" s="190">
        <f t="shared" si="51"/>
        <v>0.20252243810694798</v>
      </c>
      <c r="CD19" s="148">
        <f t="shared" si="39"/>
        <v>0</v>
      </c>
      <c r="CE19" s="97"/>
      <c r="CF19" s="154">
        <f t="shared" si="40"/>
        <v>675898.2</v>
      </c>
      <c r="CG19" s="189">
        <f t="shared" si="41"/>
        <v>0</v>
      </c>
      <c r="CH19" s="266">
        <f t="shared" si="42"/>
        <v>456281.83792032517</v>
      </c>
      <c r="CI19" s="155">
        <f t="shared" si="43"/>
        <v>0.20252243810694798</v>
      </c>
      <c r="CJ19" s="275">
        <v>373177.02133930218</v>
      </c>
      <c r="CK19" s="276">
        <f t="shared" si="44"/>
        <v>0.22269542825216437</v>
      </c>
      <c r="CL19" s="277">
        <f t="shared" si="52"/>
        <v>2.4540031120675074</v>
      </c>
      <c r="CM19" s="278">
        <f>'Ridership'!P9</f>
        <v>0.15091553455404608</v>
      </c>
      <c r="CN19" s="277">
        <f t="shared" si="53"/>
        <v>0</v>
      </c>
      <c r="CO19" s="279"/>
    </row>
    <row r="20" spans="1:93">
      <c r="A20" s="71" t="s">
        <v>222</v>
      </c>
      <c r="B20" s="240" t="s">
        <v>41</v>
      </c>
      <c r="C20" s="27"/>
      <c r="D20" s="70">
        <f>'Op Cost - Performance'!F10</f>
        <v>214513</v>
      </c>
      <c r="E20" s="175">
        <f>'Ridership'!$F10</f>
        <v>11743</v>
      </c>
      <c r="F20" s="175">
        <f>'Revenue Hours - Sizing'!F10</f>
        <v>3025</v>
      </c>
      <c r="G20" s="175">
        <f>'Revenue Miles - Sizing'!F10</f>
        <v>53460</v>
      </c>
      <c r="H20" s="191">
        <f t="shared" si="45"/>
        <v>3.6542767137057376E-4</v>
      </c>
      <c r="I20" s="110">
        <f t="shared" si="0"/>
        <v>3.6542767137057376E-4</v>
      </c>
      <c r="J20" s="111"/>
      <c r="K20" s="112">
        <f>'Ridership'!C10/'Revenue Hours'!B10</f>
        <v>1.759546925566343</v>
      </c>
      <c r="L20" s="177">
        <f>'Ridership'!D10/'Revenue Hours'!C10</f>
        <v>3.4945302445302446</v>
      </c>
      <c r="M20" s="177">
        <f>'Ridership'!E10/'Revenue Hours'!D10</f>
        <v>4.1829440905874025</v>
      </c>
      <c r="N20" s="177">
        <f>'Ridership'!F10/'Revenue Hours'!E10</f>
        <v>3.8819834710743804</v>
      </c>
      <c r="O20" s="178">
        <f t="shared" si="1"/>
        <v>1.2225198179994925</v>
      </c>
      <c r="P20" s="179">
        <f t="shared" si="2"/>
        <v>4.467425702959322E-4</v>
      </c>
      <c r="Q20" s="113">
        <f t="shared" si="3"/>
        <v>4.4228535985802884E-4</v>
      </c>
      <c r="R20" s="114">
        <f>'Ridership'!C10/'Revenue Miles'!C10</f>
        <v>0.10382691059084138</v>
      </c>
      <c r="S20" s="177">
        <f>'Ridership'!D10/'Revenue Miles'!D10</f>
        <v>0.19750504628030041</v>
      </c>
      <c r="T20" s="177">
        <f>'Ridership'!E10/'Revenue Miles'!E10</f>
        <v>0.21925659383462551</v>
      </c>
      <c r="U20" s="177">
        <f>'Ridership'!F10/'Revenue Miles'!F10</f>
        <v>0.21965955854844743</v>
      </c>
      <c r="V20" s="178">
        <f t="shared" si="4"/>
        <v>1.1913700355096102</v>
      </c>
      <c r="W20" s="179">
        <f t="shared" si="5"/>
        <v>4.3535957781695462E-4</v>
      </c>
      <c r="X20" s="113">
        <f t="shared" si="6"/>
        <v>4.3026692430602202E-4</v>
      </c>
      <c r="Y20" s="262">
        <f>'Op Cost - Performance'!C10/'Revenue Hours'!B10</f>
        <v>54.219417475728157</v>
      </c>
      <c r="Z20" s="263">
        <f>'Op Cost - Performance'!D10/'Revenue Hours'!C10</f>
        <v>62.816602316602314</v>
      </c>
      <c r="AA20" s="263">
        <f>'Op Cost - Performance'!E10/'Revenue Hours'!D10</f>
        <v>79.922859164897375</v>
      </c>
      <c r="AB20" s="263">
        <f>'Op Cost - Performance'!F10/'Revenue Hours'!E10</f>
        <v>70.913388429752061</v>
      </c>
      <c r="AC20" s="178">
        <f t="shared" si="7"/>
        <v>1.038437240030643</v>
      </c>
      <c r="AD20" s="179">
        <f t="shared" si="8"/>
        <v>3.5190154713614705E-4</v>
      </c>
      <c r="AE20" s="113">
        <f t="shared" si="9"/>
        <v>3.5086393586224575E-4</v>
      </c>
      <c r="AF20" s="262">
        <f>'Op Cost - Performance'!C10/'Revenue Miles'!C10</f>
        <v>3.1993660008402398</v>
      </c>
      <c r="AG20" s="263">
        <f>'Op Cost - Performance'!D10/'Revenue Miles'!D10</f>
        <v>3.5502900474623118</v>
      </c>
      <c r="AH20" s="263">
        <f>'Op Cost - Performance'!E10/'Revenue Miles'!E10</f>
        <v>4.1893014801350299</v>
      </c>
      <c r="AI20" s="263">
        <f>'Op Cost - Performance'!F10/'Revenue Miles'!F10</f>
        <v>4.0125888514777408</v>
      </c>
      <c r="AJ20" s="178">
        <f t="shared" si="10"/>
        <v>1.0127792417852515</v>
      </c>
      <c r="AK20" s="179">
        <f t="shared" si="11"/>
        <v>3.6081670742621583E-4</v>
      </c>
      <c r="AL20" s="113">
        <f t="shared" si="12"/>
        <v>3.6043892895149627E-4</v>
      </c>
      <c r="AM20" s="262">
        <f>'Op Cost - Performance'!C10/'Ridership'!C10</f>
        <v>30.814419716755562</v>
      </c>
      <c r="AN20" s="263">
        <f>'Op Cost - Performance'!D10/'Ridership'!D10</f>
        <v>17.97569284596262</v>
      </c>
      <c r="AO20" s="263">
        <f>'Op Cost - Performance'!E10/'Ridership'!E10</f>
        <v>19.106843752643602</v>
      </c>
      <c r="AP20" s="263">
        <f>'Op Cost - Performance'!F10/'Ridership'!F10</f>
        <v>18.26730818359874</v>
      </c>
      <c r="AQ20" s="264">
        <f t="shared" si="13"/>
        <v>0.89281324576032695</v>
      </c>
      <c r="AR20" s="179">
        <f t="shared" si="14"/>
        <v>4.0929911502306693E-4</v>
      </c>
      <c r="AS20" s="115">
        <f t="shared" si="15"/>
        <v>4.0787384117669774E-4</v>
      </c>
      <c r="AT20" s="111"/>
      <c r="AU20" s="116">
        <f t="shared" si="16"/>
        <v>8.8457071971605769E-5</v>
      </c>
      <c r="AV20" s="180">
        <f t="shared" si="17"/>
        <v>8.6053384861204413E-5</v>
      </c>
      <c r="AW20" s="180">
        <f t="shared" si="18"/>
        <v>7.017278717244915E-5</v>
      </c>
      <c r="AX20" s="180">
        <f t="shared" si="19"/>
        <v>7.208778579029926E-5</v>
      </c>
      <c r="AY20" s="117">
        <f t="shared" si="20"/>
        <v>8.1574768235339549E-5</v>
      </c>
      <c r="AZ20" s="111"/>
      <c r="BA20" s="118">
        <f t="shared" si="21"/>
        <v>12277.858219588412</v>
      </c>
      <c r="BB20" s="181">
        <f t="shared" si="22"/>
        <v>11944.225996771527</v>
      </c>
      <c r="BC20" s="181">
        <f t="shared" si="23"/>
        <v>9739.9960520199311</v>
      </c>
      <c r="BD20" s="181">
        <f t="shared" si="24"/>
        <v>10005.798220197266</v>
      </c>
      <c r="BE20" s="181">
        <f t="shared" si="25"/>
        <v>11322.593167121559</v>
      </c>
      <c r="BF20" s="119">
        <f t="shared" si="26"/>
        <v>55290.47165569869</v>
      </c>
      <c r="BH20" s="257">
        <f>'Op Cost - Performance'!F10</f>
        <v>214513</v>
      </c>
      <c r="BI20" s="182">
        <f t="shared" si="27"/>
        <v>0.25774881548297163</v>
      </c>
      <c r="BJ20" s="183">
        <f t="shared" si="28"/>
        <v>55290.47165569869</v>
      </c>
      <c r="BK20" s="138">
        <f t="shared" si="29"/>
        <v>0</v>
      </c>
      <c r="BM20" s="52">
        <f t="shared" si="30"/>
        <v>55290.47165569869</v>
      </c>
      <c r="BN20" s="184">
        <f t="shared" si="31"/>
        <v>4.5665057811608773E-4</v>
      </c>
      <c r="BO20" s="259">
        <f t="shared" si="32"/>
        <v>747.460662488705</v>
      </c>
      <c r="BP20" s="259">
        <f t="shared" si="46"/>
        <v>56037.932318187392</v>
      </c>
      <c r="BQ20" s="185">
        <f t="shared" si="47"/>
        <v>0.26123326939713393</v>
      </c>
      <c r="BR20" s="142">
        <f t="shared" si="33"/>
        <v>0</v>
      </c>
      <c r="BS20" s="11"/>
      <c r="BT20" s="256">
        <f t="shared" si="34"/>
        <v>214513</v>
      </c>
      <c r="BU20" s="186">
        <f t="shared" si="48"/>
        <v>0.26123326939713393</v>
      </c>
      <c r="BV20" s="187">
        <f t="shared" si="35"/>
        <v>56037.932318187392</v>
      </c>
      <c r="BW20" s="143">
        <f t="shared" si="36"/>
        <v>0</v>
      </c>
      <c r="BY20" s="52">
        <f t="shared" si="49"/>
        <v>56037.932318187392</v>
      </c>
      <c r="BZ20" s="188">
        <f t="shared" si="37"/>
        <v>4.5665057811608784E-4</v>
      </c>
      <c r="CA20" s="189">
        <f t="shared" si="38"/>
        <v>0</v>
      </c>
      <c r="CB20" s="147">
        <f t="shared" si="50"/>
        <v>56037.932318187392</v>
      </c>
      <c r="CC20" s="190">
        <f t="shared" si="51"/>
        <v>0.26123326939713393</v>
      </c>
      <c r="CD20" s="148">
        <f t="shared" si="39"/>
        <v>0</v>
      </c>
      <c r="CE20" s="97"/>
      <c r="CF20" s="154">
        <f t="shared" si="40"/>
        <v>64353.899999999994</v>
      </c>
      <c r="CG20" s="189">
        <f t="shared" si="41"/>
        <v>0</v>
      </c>
      <c r="CH20" s="266">
        <f t="shared" si="42"/>
        <v>56037.932318187392</v>
      </c>
      <c r="CI20" s="155">
        <f t="shared" si="43"/>
        <v>0.26123326939713393</v>
      </c>
      <c r="CJ20" s="275">
        <v>56843.967959246584</v>
      </c>
      <c r="CK20" s="276">
        <f t="shared" si="44"/>
        <v>-1.4179791981394879E-2</v>
      </c>
      <c r="CL20" s="277">
        <f t="shared" si="52"/>
        <v>-0.15625490798765299</v>
      </c>
      <c r="CM20" s="278">
        <f>'Ridership'!P10</f>
        <v>-6.5984265290584551E-3</v>
      </c>
      <c r="CN20" s="277">
        <f t="shared" si="53"/>
        <v>2.1489656540008828</v>
      </c>
      <c r="CO20" s="280">
        <f>CJ20-CH20</f>
        <v>806.03564105919213</v>
      </c>
    </row>
    <row r="21" spans="1:93">
      <c r="A21" s="71" t="s">
        <v>222</v>
      </c>
      <c r="B21" s="240" t="s">
        <v>42</v>
      </c>
      <c r="C21" s="27"/>
      <c r="D21" s="70">
        <f>'Op Cost - Performance'!F11</f>
        <v>153334791</v>
      </c>
      <c r="E21" s="175">
        <f>'Ridership'!$F11</f>
        <v>9363208</v>
      </c>
      <c r="F21" s="175">
        <f>'Revenue Hours - Sizing'!F11</f>
        <v>935916</v>
      </c>
      <c r="G21" s="175">
        <f>'Revenue Miles - Sizing'!F11</f>
        <v>12877408</v>
      </c>
      <c r="H21" s="191">
        <f t="shared" si="45"/>
        <v>0.20403757983032761</v>
      </c>
      <c r="I21" s="110">
        <f>H21/(SUM($H$12:$H$50))</f>
        <v>0.20403757983032761</v>
      </c>
      <c r="J21" s="111"/>
      <c r="K21" s="112">
        <f>'Ridership'!C11/'Revenue Hours'!B11</f>
        <v>7.1961861955660096</v>
      </c>
      <c r="L21" s="177">
        <f>'Ridership'!D11/'Revenue Hours'!C11</f>
        <v>7.4695517602798605</v>
      </c>
      <c r="M21" s="177">
        <f>'Ridership'!E11/'Revenue Hours'!D11</f>
        <v>8.5492046319520014</v>
      </c>
      <c r="N21" s="177">
        <f>'Ridership'!F11/'Revenue Hours'!E11</f>
        <v>10.004325174481471</v>
      </c>
      <c r="O21" s="178">
        <f t="shared" si="1"/>
        <v>1.015177034055516</v>
      </c>
      <c r="P21" s="179">
        <f t="shared" si="2"/>
        <v>0.20713426512801755</v>
      </c>
      <c r="Q21" s="113">
        <f t="shared" si="3"/>
        <v>0.20506765883176856</v>
      </c>
      <c r="R21" s="114">
        <f>'Ridership'!C11/'Revenue Miles'!C11</f>
        <v>0.49455273703023678</v>
      </c>
      <c r="S21" s="177">
        <f>'Ridership'!D11/'Revenue Miles'!D11</f>
        <v>0.51854760762331398</v>
      </c>
      <c r="T21" s="177">
        <f>'Ridership'!E11/'Revenue Miles'!E11</f>
        <v>0.6301184730948638</v>
      </c>
      <c r="U21" s="177">
        <f>'Ridership'!F11/'Revenue Miles'!F11</f>
        <v>0.72710346678462001</v>
      </c>
      <c r="V21" s="178">
        <f t="shared" si="4"/>
        <v>1.0320759661540508</v>
      </c>
      <c r="W21" s="179">
        <f t="shared" si="5"/>
        <v>0.21058228233511964</v>
      </c>
      <c r="X21" s="113">
        <f t="shared" si="6"/>
        <v>0.20811897923093239</v>
      </c>
      <c r="Y21" s="262">
        <f>'Op Cost - Performance'!C11/'Revenue Hours'!B11</f>
        <v>112.49719845156518</v>
      </c>
      <c r="Z21" s="263">
        <f>'Op Cost - Performance'!D11/'Revenue Hours'!C11</f>
        <v>125.82563161812979</v>
      </c>
      <c r="AA21" s="263">
        <f>'Op Cost - Performance'!E11/'Revenue Hours'!D11</f>
        <v>129.05743638229609</v>
      </c>
      <c r="AB21" s="263">
        <f>'Op Cost - Performance'!F11/'Revenue Hours'!E11</f>
        <v>163.83392419832549</v>
      </c>
      <c r="AC21" s="178">
        <f t="shared" si="7"/>
        <v>1.0657346617581893</v>
      </c>
      <c r="AD21" s="179">
        <f t="shared" si="8"/>
        <v>0.19145251360570167</v>
      </c>
      <c r="AE21" s="113">
        <f t="shared" si="9"/>
        <v>0.19088799978599641</v>
      </c>
      <c r="AF21" s="262">
        <f>'Op Cost - Performance'!C11/'Revenue Miles'!C11</f>
        <v>7.7312893094311175</v>
      </c>
      <c r="AG21" s="263">
        <f>'Op Cost - Performance'!D11/'Revenue Miles'!D11</f>
        <v>8.735006108429328</v>
      </c>
      <c r="AH21" s="263">
        <f>'Op Cost - Performance'!E11/'Revenue Miles'!E11</f>
        <v>9.512168471300491</v>
      </c>
      <c r="AI21" s="263">
        <f>'Op Cost - Performance'!F11/'Revenue Miles'!F11</f>
        <v>11.907271323545856</v>
      </c>
      <c r="AJ21" s="178">
        <f t="shared" si="10"/>
        <v>1.080974279351044</v>
      </c>
      <c r="AK21" s="179">
        <f t="shared" si="11"/>
        <v>0.18875340859434722</v>
      </c>
      <c r="AL21" s="113">
        <f t="shared" si="12"/>
        <v>0.18855578200630604</v>
      </c>
      <c r="AM21" s="262">
        <f>'Op Cost - Performance'!C11/'Ridership'!C11</f>
        <v>15.632891561488677</v>
      </c>
      <c r="AN21" s="263">
        <f>'Op Cost - Performance'!D11/'Ridership'!D11</f>
        <v>16.845138189847084</v>
      </c>
      <c r="AO21" s="263">
        <f>'Op Cost - Performance'!E11/'Ridership'!E11</f>
        <v>15.095841302002967</v>
      </c>
      <c r="AP21" s="263">
        <f>'Op Cost - Performance'!F11/'Ridership'!F11</f>
        <v>16.376309380289321</v>
      </c>
      <c r="AQ21" s="178">
        <f t="shared" si="13"/>
        <v>1.0566340383824626</v>
      </c>
      <c r="AR21" s="179">
        <f t="shared" si="14"/>
        <v>0.19310146410073675</v>
      </c>
      <c r="AS21" s="115">
        <f t="shared" si="15"/>
        <v>0.19242904030020433</v>
      </c>
      <c r="AT21" s="111"/>
      <c r="AU21" s="116">
        <f t="shared" si="16"/>
        <v>4.1013531766353716E-2</v>
      </c>
      <c r="AV21" s="180">
        <f t="shared" si="17"/>
        <v>4.162379584618648E-2</v>
      </c>
      <c r="AW21" s="180">
        <f t="shared" si="18"/>
        <v>3.8177599957199285E-2</v>
      </c>
      <c r="AX21" s="180">
        <f t="shared" si="19"/>
        <v>3.7711156401261214E-2</v>
      </c>
      <c r="AY21" s="117">
        <f t="shared" si="20"/>
        <v>3.8485808060040871E-2</v>
      </c>
      <c r="AZ21" s="111"/>
      <c r="BA21" s="118">
        <f t="shared" si="21"/>
        <v>5692685.9197138678</v>
      </c>
      <c r="BB21" s="181">
        <f t="shared" si="22"/>
        <v>5777390.6887243027</v>
      </c>
      <c r="BC21" s="181">
        <f t="shared" si="23"/>
        <v>5299058.0514480527</v>
      </c>
      <c r="BD21" s="181">
        <f t="shared" si="24"/>
        <v>5234315.5981924599</v>
      </c>
      <c r="BE21" s="181">
        <f t="shared" si="25"/>
        <v>5341837.3940655878</v>
      </c>
      <c r="BF21" s="119">
        <f t="shared" si="26"/>
        <v>27345287.652144272</v>
      </c>
      <c r="BH21" s="257">
        <f>'Op Cost - Performance'!F11</f>
        <v>153334791</v>
      </c>
      <c r="BI21" s="182">
        <f t="shared" si="27"/>
        <v>0.1783371371481132</v>
      </c>
      <c r="BJ21" s="183">
        <f t="shared" si="28"/>
        <v>27345287.652144272</v>
      </c>
      <c r="BK21" s="138">
        <f t="shared" si="29"/>
        <v>0</v>
      </c>
      <c r="BM21" s="52">
        <f t="shared" si="30"/>
        <v>27345287.652144272</v>
      </c>
      <c r="BN21" s="184">
        <f t="shared" si="31"/>
        <v>0.22584798141824786</v>
      </c>
      <c r="BO21" s="259">
        <f t="shared" si="32"/>
        <v>369675.39274571004</v>
      </c>
      <c r="BP21" s="259">
        <f t="shared" si="46"/>
        <v>27714963.044889983</v>
      </c>
      <c r="BQ21" s="185">
        <f t="shared" si="47"/>
        <v>0.18074804070323469</v>
      </c>
      <c r="BR21" s="142">
        <f t="shared" si="33"/>
        <v>0</v>
      </c>
      <c r="BS21" s="11"/>
      <c r="BT21" s="256">
        <f t="shared" si="34"/>
        <v>153334791</v>
      </c>
      <c r="BU21" s="186">
        <f t="shared" si="48"/>
        <v>0.18074804070323469</v>
      </c>
      <c r="BV21" s="187">
        <f t="shared" si="35"/>
        <v>27714963.044889983</v>
      </c>
      <c r="BW21" s="143">
        <f t="shared" si="36"/>
        <v>0</v>
      </c>
      <c r="BY21" s="52">
        <f t="shared" si="49"/>
        <v>27714963.044889983</v>
      </c>
      <c r="BZ21" s="188">
        <f t="shared" si="37"/>
        <v>0.22584798141824791</v>
      </c>
      <c r="CA21" s="189">
        <f t="shared" si="38"/>
        <v>0</v>
      </c>
      <c r="CB21" s="147">
        <f t="shared" si="50"/>
        <v>27714963.044889983</v>
      </c>
      <c r="CC21" s="190">
        <f t="shared" si="51"/>
        <v>0.18074804070323469</v>
      </c>
      <c r="CD21" s="148">
        <f t="shared" si="39"/>
        <v>0</v>
      </c>
      <c r="CE21" s="97"/>
      <c r="CF21" s="154">
        <f t="shared" si="40"/>
        <v>46000437.299999997</v>
      </c>
      <c r="CG21" s="189">
        <f t="shared" si="41"/>
        <v>0</v>
      </c>
      <c r="CH21" s="266">
        <f t="shared" si="42"/>
        <v>27714963.044889983</v>
      </c>
      <c r="CI21" s="155">
        <f t="shared" si="43"/>
        <v>0.18074804070323469</v>
      </c>
      <c r="CJ21" s="275">
        <v>24837287.914854791</v>
      </c>
      <c r="CK21" s="276">
        <f t="shared" si="44"/>
        <v>0.11586108515149512</v>
      </c>
      <c r="CL21" s="277">
        <f t="shared" si="52"/>
        <v>1.2767368677516808</v>
      </c>
      <c r="CM21" s="278">
        <f>'Ridership'!P11</f>
        <v>9.1954064543395955E-2</v>
      </c>
      <c r="CN21" s="277">
        <f t="shared" si="53"/>
        <v>0</v>
      </c>
      <c r="CO21" s="279"/>
    </row>
    <row r="22" spans="1:93">
      <c r="A22" s="71" t="s">
        <v>222</v>
      </c>
      <c r="B22" s="240" t="s">
        <v>53</v>
      </c>
      <c r="C22" s="27"/>
      <c r="D22" s="70">
        <f>'Op Cost - Performance'!F12</f>
        <v>1551122</v>
      </c>
      <c r="E22" s="175">
        <f>'Ridership'!$F12</f>
        <v>98845</v>
      </c>
      <c r="F22" s="175">
        <f>'Revenue Hours - Sizing'!F12</f>
        <v>21730</v>
      </c>
      <c r="G22" s="175">
        <f>'Revenue Miles - Sizing'!F12</f>
        <v>543346</v>
      </c>
      <c r="H22" s="191">
        <f t="shared" si="45"/>
        <v>2.9393846320464817E-3</v>
      </c>
      <c r="I22" s="110">
        <f t="shared" si="0"/>
        <v>2.9393846320464817E-3</v>
      </c>
      <c r="J22" s="111"/>
      <c r="K22" s="112">
        <f>'Ridership'!C12/'Revenue Hours'!B12</f>
        <v>3.1323175227328584</v>
      </c>
      <c r="L22" s="177">
        <f>'Ridership'!D12/'Revenue Hours'!C12</f>
        <v>4.5268015794669303</v>
      </c>
      <c r="M22" s="177">
        <f>'Ridership'!E12/'Revenue Hours'!D12</f>
        <v>5.0649137631094989</v>
      </c>
      <c r="N22" s="177">
        <f>'Ridership'!F12/'Revenue Hours'!E12</f>
        <v>4.5487804878048781</v>
      </c>
      <c r="O22" s="178">
        <f t="shared" si="1"/>
        <v>1.036516825268252</v>
      </c>
      <c r="P22" s="179">
        <f t="shared" si="2"/>
        <v>3.0467216270511082E-3</v>
      </c>
      <c r="Q22" s="113">
        <f t="shared" si="3"/>
        <v>3.0163240774545197E-3</v>
      </c>
      <c r="R22" s="114">
        <f>'Ridership'!C12/'Revenue Miles'!C12</f>
        <v>0.13193504175827817</v>
      </c>
      <c r="S22" s="177">
        <f>'Ridership'!D12/'Revenue Miles'!D12</f>
        <v>0.17952070654971744</v>
      </c>
      <c r="T22" s="177">
        <f>'Ridership'!E12/'Revenue Miles'!E12</f>
        <v>0.1925315860176961</v>
      </c>
      <c r="U22" s="177">
        <f>'Ridership'!F12/'Revenue Miles'!F12</f>
        <v>0.18191907182531941</v>
      </c>
      <c r="V22" s="178">
        <f t="shared" si="4"/>
        <v>1.0099471478564341</v>
      </c>
      <c r="W22" s="179">
        <f t="shared" si="5"/>
        <v>2.9686231255883783E-3</v>
      </c>
      <c r="X22" s="113">
        <f t="shared" si="6"/>
        <v>2.933897418946133E-3</v>
      </c>
      <c r="Y22" s="262">
        <f>'Op Cost - Performance'!C12/'Revenue Hours'!B12</f>
        <v>59.030916687146721</v>
      </c>
      <c r="Z22" s="263">
        <f>'Op Cost - Performance'!D12/'Revenue Hours'!C12</f>
        <v>61.540424481737411</v>
      </c>
      <c r="AA22" s="263">
        <f>'Op Cost - Performance'!E12/'Revenue Hours'!D12</f>
        <v>66.988568020279331</v>
      </c>
      <c r="AB22" s="263">
        <f>'Op Cost - Performance'!F12/'Revenue Hours'!E12</f>
        <v>71.381592268752883</v>
      </c>
      <c r="AC22" s="178">
        <f t="shared" si="7"/>
        <v>0.99934614337534777</v>
      </c>
      <c r="AD22" s="179">
        <f t="shared" si="8"/>
        <v>2.9413078256534265E-3</v>
      </c>
      <c r="AE22" s="113">
        <f t="shared" si="9"/>
        <v>2.9326351324392326E-3</v>
      </c>
      <c r="AF22" s="262">
        <f>'Op Cost - Performance'!C12/'Revenue Miles'!C12</f>
        <v>2.4864166552799274</v>
      </c>
      <c r="AG22" s="263">
        <f>'Op Cost - Performance'!D12/'Revenue Miles'!D12</f>
        <v>2.4405267804187702</v>
      </c>
      <c r="AH22" s="263">
        <f>'Op Cost - Performance'!E12/'Revenue Miles'!E12</f>
        <v>2.5464234633050489</v>
      </c>
      <c r="AI22" s="263">
        <f>'Op Cost - Performance'!F12/'Revenue Miles'!F12</f>
        <v>2.8547592142023683</v>
      </c>
      <c r="AJ22" s="178">
        <f t="shared" si="10"/>
        <v>0.98069105896434683</v>
      </c>
      <c r="AK22" s="179">
        <f t="shared" si="11"/>
        <v>2.9972585200793021E-3</v>
      </c>
      <c r="AL22" s="113">
        <f t="shared" si="12"/>
        <v>2.9941203623145671E-3</v>
      </c>
      <c r="AM22" s="262">
        <f>'Op Cost - Performance'!C12/'Ridership'!C12</f>
        <v>18.84576396189998</v>
      </c>
      <c r="AN22" s="263">
        <f>'Op Cost - Performance'!D12/'Ridership'!D12</f>
        <v>13.594681233849073</v>
      </c>
      <c r="AO22" s="263">
        <f>'Op Cost - Performance'!E12/'Ridership'!E12</f>
        <v>13.226003670228948</v>
      </c>
      <c r="AP22" s="263">
        <f>'Op Cost - Performance'!F12/'Ridership'!F12</f>
        <v>15.692468005463098</v>
      </c>
      <c r="AQ22" s="264">
        <f t="shared" si="13"/>
        <v>0.98779212168759722</v>
      </c>
      <c r="AR22" s="179">
        <f t="shared" si="14"/>
        <v>2.9757117590942907E-3</v>
      </c>
      <c r="AS22" s="115">
        <f t="shared" si="15"/>
        <v>2.9653496449608867E-3</v>
      </c>
      <c r="AT22" s="111"/>
      <c r="AU22" s="116">
        <f t="shared" si="16"/>
        <v>6.0326481549090403E-4</v>
      </c>
      <c r="AV22" s="180">
        <f t="shared" si="17"/>
        <v>5.8677948378922662E-4</v>
      </c>
      <c r="AW22" s="180">
        <f t="shared" si="18"/>
        <v>5.8652702648784652E-4</v>
      </c>
      <c r="AX22" s="180">
        <f t="shared" si="19"/>
        <v>5.9882407246291346E-4</v>
      </c>
      <c r="AY22" s="117">
        <f t="shared" si="20"/>
        <v>5.9306992899217734E-4</v>
      </c>
      <c r="AZ22" s="111"/>
      <c r="BA22" s="118">
        <f t="shared" si="21"/>
        <v>83733.269803922798</v>
      </c>
      <c r="BB22" s="181">
        <f t="shared" si="22"/>
        <v>81445.102664487611</v>
      </c>
      <c r="BC22" s="181">
        <f t="shared" si="23"/>
        <v>81410.061543594071</v>
      </c>
      <c r="BD22" s="181">
        <f t="shared" si="24"/>
        <v>83116.893836778007</v>
      </c>
      <c r="BE22" s="181">
        <f t="shared" si="25"/>
        <v>82318.217641260868</v>
      </c>
      <c r="BF22" s="119">
        <f t="shared" si="26"/>
        <v>412023.54549004335</v>
      </c>
      <c r="BH22" s="257">
        <f>'Op Cost - Performance'!F12</f>
        <v>1551122</v>
      </c>
      <c r="BI22" s="182">
        <f t="shared" si="27"/>
        <v>0.26562936086912786</v>
      </c>
      <c r="BJ22" s="183">
        <f t="shared" si="28"/>
        <v>412023.54549004335</v>
      </c>
      <c r="BK22" s="138">
        <f t="shared" si="29"/>
        <v>0</v>
      </c>
      <c r="BM22" s="52">
        <f t="shared" si="30"/>
        <v>412023.54549004335</v>
      </c>
      <c r="BN22" s="184">
        <f t="shared" si="31"/>
        <v>3.4029514419249146E-3</v>
      </c>
      <c r="BO22" s="259">
        <f t="shared" si="32"/>
        <v>5570.0626717513424</v>
      </c>
      <c r="BP22" s="259">
        <f t="shared" si="46"/>
        <v>417593.60816179472</v>
      </c>
      <c r="BQ22" s="185">
        <f t="shared" si="47"/>
        <v>0.26922035027663505</v>
      </c>
      <c r="BR22" s="142">
        <f t="shared" si="33"/>
        <v>0</v>
      </c>
      <c r="BS22" s="11"/>
      <c r="BT22" s="256">
        <f t="shared" si="34"/>
        <v>1551122</v>
      </c>
      <c r="BU22" s="186">
        <f t="shared" si="48"/>
        <v>0.26922035027663505</v>
      </c>
      <c r="BV22" s="187">
        <f t="shared" si="35"/>
        <v>417593.60816179472</v>
      </c>
      <c r="BW22" s="143">
        <f t="shared" si="36"/>
        <v>0</v>
      </c>
      <c r="BY22" s="52">
        <f t="shared" si="49"/>
        <v>417593.60816179472</v>
      </c>
      <c r="BZ22" s="188">
        <f t="shared" si="37"/>
        <v>3.4029514419249155E-3</v>
      </c>
      <c r="CA22" s="189">
        <f t="shared" si="38"/>
        <v>0</v>
      </c>
      <c r="CB22" s="147">
        <f t="shared" si="50"/>
        <v>417593.60816179472</v>
      </c>
      <c r="CC22" s="190">
        <f t="shared" si="51"/>
        <v>0.26922035027663505</v>
      </c>
      <c r="CD22" s="148">
        <f t="shared" si="39"/>
        <v>0</v>
      </c>
      <c r="CE22" s="97"/>
      <c r="CF22" s="154">
        <f t="shared" si="40"/>
        <v>465336.6</v>
      </c>
      <c r="CG22" s="189">
        <f t="shared" si="41"/>
        <v>0</v>
      </c>
      <c r="CH22" s="266">
        <f t="shared" si="42"/>
        <v>417593.60816179472</v>
      </c>
      <c r="CI22" s="155">
        <f t="shared" si="43"/>
        <v>0.26922035027663505</v>
      </c>
      <c r="CJ22" s="275">
        <v>379221.9031059001</v>
      </c>
      <c r="CK22" s="276">
        <f t="shared" si="44"/>
        <v>0.10118536071261443</v>
      </c>
      <c r="CL22" s="277">
        <f t="shared" si="52"/>
        <v>1.1150170079075963</v>
      </c>
      <c r="CM22" s="278">
        <f>'Ridership'!P12</f>
        <v>-2.9989892150224236E-2</v>
      </c>
      <c r="CN22" s="277">
        <f t="shared" si="53"/>
        <v>0</v>
      </c>
      <c r="CO22" s="279"/>
    </row>
    <row r="23" spans="1:93">
      <c r="A23" s="71" t="s">
        <v>222</v>
      </c>
      <c r="B23" s="240" t="s">
        <v>59</v>
      </c>
      <c r="C23" s="27"/>
      <c r="D23" s="70">
        <f>'Op Cost - Performance'!F13</f>
        <v>83950</v>
      </c>
      <c r="E23" s="175">
        <f>'Ridership'!$F13</f>
        <v>6249</v>
      </c>
      <c r="F23" s="175">
        <f>'Revenue Hours - Sizing'!F13</f>
        <v>953</v>
      </c>
      <c r="G23" s="175">
        <f>'Revenue Miles - Sizing'!F13</f>
        <v>13408</v>
      </c>
      <c r="H23" s="176">
        <f t="shared" si="45"/>
        <v>1.357646171439744E-4</v>
      </c>
      <c r="I23" s="110">
        <f t="shared" si="0"/>
        <v>1.357646171439744E-4</v>
      </c>
      <c r="J23" s="111"/>
      <c r="K23" s="112">
        <f>'Ridership'!C13/'Revenue Hours'!B13</f>
        <v>3.4102272727272727</v>
      </c>
      <c r="L23" s="177">
        <f>'Ridership'!D13/'Revenue Hours'!C13</f>
        <v>6.2649402390438249</v>
      </c>
      <c r="M23" s="177">
        <f>'Ridership'!E13/'Revenue Hours'!D13</f>
        <v>4.4946004319654431</v>
      </c>
      <c r="N23" s="177">
        <f>'Ridership'!F13/'Revenue Hours'!E13</f>
        <v>6.5571878279118572</v>
      </c>
      <c r="O23" s="178">
        <f t="shared" si="1"/>
        <v>1.1980721824226919</v>
      </c>
      <c r="P23" s="179">
        <f t="shared" si="2"/>
        <v>1.6265581115746262E-4</v>
      </c>
      <c r="Q23" s="113">
        <f t="shared" si="3"/>
        <v>1.6103297235166799E-4</v>
      </c>
      <c r="R23" s="114">
        <f>'Ridership'!C13/'Revenue Miles'!C13</f>
        <v>0.44282130736314002</v>
      </c>
      <c r="S23" s="177">
        <f>'Ridership'!D13/'Revenue Miles'!D13</f>
        <v>0.67765567765567769</v>
      </c>
      <c r="T23" s="177">
        <f>'Ridership'!E13/'Revenue Miles'!E13</f>
        <v>0.46347438752783965</v>
      </c>
      <c r="U23" s="177">
        <f>'Ridership'!F13/'Revenue Miles'!F13</f>
        <v>0.46606503579952269</v>
      </c>
      <c r="V23" s="178">
        <f t="shared" si="4"/>
        <v>0.95616370338709444</v>
      </c>
      <c r="W23" s="179">
        <f t="shared" si="5"/>
        <v>1.2981319911731356E-4</v>
      </c>
      <c r="X23" s="113">
        <f t="shared" si="6"/>
        <v>1.2829469882942479E-4</v>
      </c>
      <c r="Y23" s="262">
        <f>'Op Cost - Performance'!C13/'Revenue Hours'!B13</f>
        <v>76.226136363636357</v>
      </c>
      <c r="Z23" s="263">
        <f>'Op Cost - Performance'!D13/'Revenue Hours'!C13</f>
        <v>100.44621513944223</v>
      </c>
      <c r="AA23" s="263">
        <f>'Op Cost - Performance'!E13/'Revenue Hours'!D13</f>
        <v>51.327573794096473</v>
      </c>
      <c r="AB23" s="263">
        <f>'Op Cost - Performance'!F13/'Revenue Hours'!E13</f>
        <v>88.090241343126962</v>
      </c>
      <c r="AC23" s="178">
        <f t="shared" si="7"/>
        <v>1.1001575519974522</v>
      </c>
      <c r="AD23" s="179">
        <f t="shared" si="8"/>
        <v>1.2340470407850166E-4</v>
      </c>
      <c r="AE23" s="113">
        <f t="shared" si="9"/>
        <v>1.2304083494167527E-4</v>
      </c>
      <c r="AF23" s="262">
        <f>'Op Cost - Performance'!C13/'Revenue Miles'!C13</f>
        <v>9.8980374797107871</v>
      </c>
      <c r="AG23" s="263">
        <f>'Op Cost - Performance'!D13/'Revenue Miles'!D13</f>
        <v>10.864899806076277</v>
      </c>
      <c r="AH23" s="263">
        <f>'Op Cost - Performance'!E13/'Revenue Miles'!E13</f>
        <v>5.2927988121752039</v>
      </c>
      <c r="AI23" s="263">
        <f>'Op Cost - Performance'!F13/'Revenue Miles'!F13</f>
        <v>6.2611873508353222</v>
      </c>
      <c r="AJ23" s="178">
        <f t="shared" si="10"/>
        <v>0.85713128833673513</v>
      </c>
      <c r="AK23" s="179">
        <f t="shared" si="11"/>
        <v>1.5839419117160674E-4</v>
      </c>
      <c r="AL23" s="113">
        <f t="shared" si="12"/>
        <v>1.5822835096877333E-4</v>
      </c>
      <c r="AM23" s="262">
        <f>'Op Cost - Performance'!C13/'Ridership'!C13</f>
        <v>22.352215928023991</v>
      </c>
      <c r="AN23" s="263">
        <f>'Op Cost - Performance'!D13/'Ridership'!D13</f>
        <v>16.033068362480126</v>
      </c>
      <c r="AO23" s="263">
        <f>'Op Cost - Performance'!E13/'Ridership'!E13</f>
        <v>11.419830209835014</v>
      </c>
      <c r="AP23" s="263">
        <f>'Op Cost - Performance'!F13/'Ridership'!F13</f>
        <v>13.434149463914226</v>
      </c>
      <c r="AQ23" s="264">
        <f t="shared" si="13"/>
        <v>0.89320931123527314</v>
      </c>
      <c r="AR23" s="179">
        <f t="shared" si="14"/>
        <v>1.5199641946882228E-4</v>
      </c>
      <c r="AS23" s="115">
        <f t="shared" si="15"/>
        <v>1.5146713290684557E-4</v>
      </c>
      <c r="AT23" s="111"/>
      <c r="AU23" s="116">
        <f t="shared" si="16"/>
        <v>3.2206594470333599E-5</v>
      </c>
      <c r="AV23" s="180">
        <f t="shared" si="17"/>
        <v>2.5658939765884961E-5</v>
      </c>
      <c r="AW23" s="180">
        <f t="shared" si="18"/>
        <v>2.4608166988335058E-5</v>
      </c>
      <c r="AX23" s="180">
        <f t="shared" si="19"/>
        <v>3.1645670193754666E-5</v>
      </c>
      <c r="AY23" s="117">
        <f t="shared" si="20"/>
        <v>3.0293426581369115E-5</v>
      </c>
      <c r="AZ23" s="111"/>
      <c r="BA23" s="118">
        <f t="shared" si="21"/>
        <v>4470.2813673220635</v>
      </c>
      <c r="BB23" s="181">
        <f t="shared" si="22"/>
        <v>3561.4656633855084</v>
      </c>
      <c r="BC23" s="181">
        <f t="shared" si="23"/>
        <v>3415.6182043162999</v>
      </c>
      <c r="BD23" s="181">
        <f t="shared" si="24"/>
        <v>4392.4249722791437</v>
      </c>
      <c r="BE23" s="181">
        <f t="shared" si="25"/>
        <v>4204.7333046582307</v>
      </c>
      <c r="BF23" s="119">
        <f t="shared" si="26"/>
        <v>20044.523511961248</v>
      </c>
      <c r="BH23" s="257">
        <f>'Op Cost - Performance'!F13</f>
        <v>83950</v>
      </c>
      <c r="BI23" s="182">
        <f t="shared" si="27"/>
        <v>0.23876740335868074</v>
      </c>
      <c r="BJ23" s="183">
        <f t="shared" si="28"/>
        <v>20044.523511961248</v>
      </c>
      <c r="BK23" s="138">
        <f t="shared" si="29"/>
        <v>0</v>
      </c>
      <c r="BM23" s="52">
        <f t="shared" si="30"/>
        <v>20044.523511961248</v>
      </c>
      <c r="BN23" s="184">
        <f t="shared" si="31"/>
        <v>1.6555010249863185E-4</v>
      </c>
      <c r="BO23" s="259">
        <f t="shared" si="32"/>
        <v>270.97784437107003</v>
      </c>
      <c r="BP23" s="259">
        <f t="shared" si="46"/>
        <v>20315.501356332319</v>
      </c>
      <c r="BQ23" s="185">
        <f t="shared" si="47"/>
        <v>0.24199525141551304</v>
      </c>
      <c r="BR23" s="142">
        <f t="shared" si="33"/>
        <v>0</v>
      </c>
      <c r="BS23" s="11"/>
      <c r="BT23" s="256">
        <f t="shared" si="34"/>
        <v>83950</v>
      </c>
      <c r="BU23" s="186">
        <f t="shared" si="48"/>
        <v>0.24199525141551304</v>
      </c>
      <c r="BV23" s="187">
        <f t="shared" si="35"/>
        <v>20315.501356332319</v>
      </c>
      <c r="BW23" s="143">
        <f t="shared" si="36"/>
        <v>0</v>
      </c>
      <c r="BY23" s="52">
        <f t="shared" si="49"/>
        <v>20315.501356332319</v>
      </c>
      <c r="BZ23" s="188">
        <f t="shared" si="37"/>
        <v>1.6555010249863191E-4</v>
      </c>
      <c r="CA23" s="189">
        <f t="shared" si="38"/>
        <v>0</v>
      </c>
      <c r="CB23" s="147">
        <f t="shared" si="50"/>
        <v>20315.501356332319</v>
      </c>
      <c r="CC23" s="190">
        <f t="shared" si="51"/>
        <v>0.24199525141551304</v>
      </c>
      <c r="CD23" s="148">
        <f t="shared" si="39"/>
        <v>0</v>
      </c>
      <c r="CE23" s="97"/>
      <c r="CF23" s="154">
        <f t="shared" si="40"/>
        <v>25185</v>
      </c>
      <c r="CG23" s="189">
        <f t="shared" si="41"/>
        <v>0</v>
      </c>
      <c r="CH23" s="266">
        <f t="shared" si="42"/>
        <v>20315.501356332319</v>
      </c>
      <c r="CI23" s="155">
        <f t="shared" si="43"/>
        <v>0.24199525141551304</v>
      </c>
      <c r="CJ23" s="275">
        <v>21388.2</v>
      </c>
      <c r="CK23" s="276">
        <f t="shared" si="44"/>
        <v>-5.0153759721139765E-2</v>
      </c>
      <c r="CL23" s="277">
        <f t="shared" si="52"/>
        <v>-0.55267179664864452</v>
      </c>
      <c r="CM23" s="278">
        <f>'Ridership'!P13</f>
        <v>9.6107640557424319E-4</v>
      </c>
      <c r="CN23" s="277">
        <f t="shared" si="53"/>
        <v>-52.184986989845925</v>
      </c>
      <c r="CO23" s="280">
        <f>CJ23-CH23</f>
        <v>1072.6986436676816</v>
      </c>
    </row>
    <row r="24" spans="1:93">
      <c r="A24" s="71" t="s">
        <v>222</v>
      </c>
      <c r="B24" s="240" t="s">
        <v>61</v>
      </c>
      <c r="C24" s="27"/>
      <c r="D24" s="70">
        <f>'Op Cost - Performance'!F14</f>
        <v>8890738</v>
      </c>
      <c r="E24" s="175">
        <f>'Ridership'!$F14</f>
        <v>1578514</v>
      </c>
      <c r="F24" s="175">
        <f>'Revenue Hours - Sizing'!F14</f>
        <v>69229</v>
      </c>
      <c r="G24" s="175">
        <f>'Revenue Miles - Sizing'!F14</f>
        <v>1121781</v>
      </c>
      <c r="H24" s="191">
        <f t="shared" si="45"/>
        <v>1.7979102625717957E-2</v>
      </c>
      <c r="I24" s="110">
        <f t="shared" si="0"/>
        <v>1.7979102625717957E-2</v>
      </c>
      <c r="J24" s="111"/>
      <c r="K24" s="112">
        <f>'Ridership'!C14/'Revenue Hours'!B14</f>
        <v>19.466079261836335</v>
      </c>
      <c r="L24" s="177">
        <f>'Ridership'!D14/'Revenue Hours'!C14</f>
        <v>23.218467236227433</v>
      </c>
      <c r="M24" s="177">
        <f>'Ridership'!E14/'Revenue Hours'!D14</f>
        <v>20.748407596892445</v>
      </c>
      <c r="N24" s="177">
        <f>'Ridership'!F14/'Revenue Hours'!E14</f>
        <v>22.801340478701121</v>
      </c>
      <c r="O24" s="178">
        <f t="shared" si="1"/>
        <v>0.95842850985461092</v>
      </c>
      <c r="P24" s="179">
        <f t="shared" si="2"/>
        <v>1.7231684538089983E-2</v>
      </c>
      <c r="Q24" s="113">
        <f t="shared" si="3"/>
        <v>1.7059761714314864E-2</v>
      </c>
      <c r="R24" s="114">
        <f>'Ridership'!C14/'Revenue Miles'!C14</f>
        <v>1.4050534441156883</v>
      </c>
      <c r="S24" s="177">
        <f>'Ridership'!D14/'Revenue Miles'!D14</f>
        <v>1.5050852081552479</v>
      </c>
      <c r="T24" s="177">
        <f>'Ridership'!E14/'Revenue Miles'!E14</f>
        <v>1.2621167950518506</v>
      </c>
      <c r="U24" s="177">
        <f>'Ridership'!F14/'Revenue Miles'!F14</f>
        <v>1.4071498804133784</v>
      </c>
      <c r="V24" s="178">
        <f t="shared" si="4"/>
        <v>0.90953562070977512</v>
      </c>
      <c r="W24" s="179">
        <f t="shared" si="5"/>
        <v>1.6352634266487129E-2</v>
      </c>
      <c r="X24" s="113">
        <f t="shared" si="6"/>
        <v>1.6161348018168421E-2</v>
      </c>
      <c r="Y24" s="262">
        <f>'Op Cost - Performance'!C14/'Revenue Hours'!B14</f>
        <v>94.089194776382797</v>
      </c>
      <c r="Z24" s="263">
        <f>'Op Cost - Performance'!D14/'Revenue Hours'!C14</f>
        <v>110.97560428152575</v>
      </c>
      <c r="AA24" s="263">
        <f>'Op Cost - Performance'!E14/'Revenue Hours'!D14</f>
        <v>113.25195679741134</v>
      </c>
      <c r="AB24" s="263">
        <f>'Op Cost - Performance'!F14/'Revenue Hours'!E14</f>
        <v>128.42505308468995</v>
      </c>
      <c r="AC24" s="178">
        <f t="shared" si="7"/>
        <v>1.0406132279726279</v>
      </c>
      <c r="AD24" s="179">
        <f t="shared" si="8"/>
        <v>1.7277411186426773E-2</v>
      </c>
      <c r="AE24" s="113">
        <f t="shared" si="9"/>
        <v>1.7226467288121237E-2</v>
      </c>
      <c r="AF24" s="262">
        <f>'Op Cost - Performance'!C14/'Revenue Miles'!C14</f>
        <v>6.7913186521237527</v>
      </c>
      <c r="AG24" s="263">
        <f>'Op Cost - Performance'!D14/'Revenue Miles'!D14</f>
        <v>7.1937453394685633</v>
      </c>
      <c r="AH24" s="263">
        <f>'Op Cost - Performance'!E14/'Revenue Miles'!E14</f>
        <v>6.8890682853130185</v>
      </c>
      <c r="AI24" s="263">
        <f>'Op Cost - Performance'!F14/'Revenue Miles'!F14</f>
        <v>7.925555879445275</v>
      </c>
      <c r="AJ24" s="178">
        <f t="shared" si="10"/>
        <v>0.98600238362442383</v>
      </c>
      <c r="AK24" s="179">
        <f t="shared" si="11"/>
        <v>1.8234339920791046E-2</v>
      </c>
      <c r="AL24" s="113">
        <f t="shared" si="12"/>
        <v>1.8215248395977986E-2</v>
      </c>
      <c r="AM24" s="262">
        <f>'Op Cost - Performance'!C14/'Ridership'!C14</f>
        <v>4.833494896984555</v>
      </c>
      <c r="AN24" s="263">
        <f>'Op Cost - Performance'!D14/'Ridership'!D14</f>
        <v>4.779626628771263</v>
      </c>
      <c r="AO24" s="263">
        <f>'Op Cost - Performance'!E14/'Ridership'!E14</f>
        <v>5.4583445148037981</v>
      </c>
      <c r="AP24" s="263">
        <f>'Op Cost - Performance'!F14/'Ridership'!F14</f>
        <v>5.632346624736936</v>
      </c>
      <c r="AQ24" s="178">
        <f t="shared" si="13"/>
        <v>1.091762600814447</v>
      </c>
      <c r="AR24" s="179">
        <f t="shared" si="14"/>
        <v>1.6467959803995555E-2</v>
      </c>
      <c r="AS24" s="115">
        <f t="shared" si="15"/>
        <v>1.6410614572720451E-2</v>
      </c>
      <c r="AT24" s="111"/>
      <c r="AU24" s="116">
        <f t="shared" si="16"/>
        <v>3.411952342862973E-3</v>
      </c>
      <c r="AV24" s="180">
        <f t="shared" si="17"/>
        <v>3.2322696036336841E-3</v>
      </c>
      <c r="AW24" s="180">
        <f t="shared" si="18"/>
        <v>3.4452934576242478E-3</v>
      </c>
      <c r="AX24" s="180">
        <f t="shared" si="19"/>
        <v>3.6430496791955975E-3</v>
      </c>
      <c r="AY24" s="117">
        <f t="shared" si="20"/>
        <v>3.2821229145440904E-3</v>
      </c>
      <c r="AZ24" s="111"/>
      <c r="BA24" s="118">
        <f t="shared" si="21"/>
        <v>473579.62663642113</v>
      </c>
      <c r="BB24" s="181">
        <f t="shared" si="22"/>
        <v>448639.62865104084</v>
      </c>
      <c r="BC24" s="181">
        <f t="shared" si="23"/>
        <v>478207.37963341561</v>
      </c>
      <c r="BD24" s="181">
        <f t="shared" si="24"/>
        <v>505655.98036568862</v>
      </c>
      <c r="BE24" s="181">
        <f t="shared" si="25"/>
        <v>455559.27757782768</v>
      </c>
      <c r="BF24" s="119">
        <f t="shared" si="26"/>
        <v>2361641.892864394</v>
      </c>
      <c r="BH24" s="257">
        <f>'Op Cost - Performance'!F14</f>
        <v>8890738</v>
      </c>
      <c r="BI24" s="182">
        <f t="shared" si="27"/>
        <v>0.26562945537978894</v>
      </c>
      <c r="BJ24" s="183">
        <f t="shared" si="28"/>
        <v>2361641.892864394</v>
      </c>
      <c r="BK24" s="138">
        <f t="shared" si="29"/>
        <v>0</v>
      </c>
      <c r="BM24" s="52">
        <f t="shared" si="30"/>
        <v>2361641.892864394</v>
      </c>
      <c r="BN24" s="184">
        <f t="shared" si="31"/>
        <v>1.9505081135775478E-2</v>
      </c>
      <c r="BO24" s="259">
        <f t="shared" si="32"/>
        <v>31926.557342354659</v>
      </c>
      <c r="BP24" s="259">
        <f t="shared" si="46"/>
        <v>2393568.4502067487</v>
      </c>
      <c r="BQ24" s="185">
        <f t="shared" si="47"/>
        <v>0.26922044606496653</v>
      </c>
      <c r="BR24" s="142">
        <f t="shared" si="33"/>
        <v>0</v>
      </c>
      <c r="BS24" s="11"/>
      <c r="BT24" s="256">
        <f t="shared" si="34"/>
        <v>8890738</v>
      </c>
      <c r="BU24" s="186">
        <f t="shared" si="48"/>
        <v>0.26922044606496653</v>
      </c>
      <c r="BV24" s="187">
        <f t="shared" si="35"/>
        <v>2393568.4502067487</v>
      </c>
      <c r="BW24" s="143">
        <f t="shared" si="36"/>
        <v>0</v>
      </c>
      <c r="BY24" s="52">
        <f t="shared" si="49"/>
        <v>2393568.4502067487</v>
      </c>
      <c r="BZ24" s="188">
        <f t="shared" si="37"/>
        <v>1.9505081135775482E-2</v>
      </c>
      <c r="CA24" s="189">
        <f t="shared" si="38"/>
        <v>0</v>
      </c>
      <c r="CB24" s="147">
        <f t="shared" si="50"/>
        <v>2393568.4502067487</v>
      </c>
      <c r="CC24" s="190">
        <f t="shared" si="51"/>
        <v>0.26922044606496653</v>
      </c>
      <c r="CD24" s="148">
        <f t="shared" si="39"/>
        <v>0</v>
      </c>
      <c r="CE24" s="97"/>
      <c r="CF24" s="154">
        <f t="shared" si="40"/>
        <v>2667221.4</v>
      </c>
      <c r="CG24" s="189">
        <f t="shared" si="41"/>
        <v>0</v>
      </c>
      <c r="CH24" s="266">
        <f t="shared" si="42"/>
        <v>2393568.4502067487</v>
      </c>
      <c r="CI24" s="155">
        <f t="shared" si="43"/>
        <v>0.26922044606496653</v>
      </c>
      <c r="CJ24" s="275">
        <v>2231194.4929412054</v>
      </c>
      <c r="CK24" s="276">
        <f t="shared" si="44"/>
        <v>7.2774452330015699E-2</v>
      </c>
      <c r="CL24" s="277">
        <f t="shared" si="52"/>
        <v>0.80194161998981806</v>
      </c>
      <c r="CM24" s="278">
        <f>'Ridership'!P14</f>
        <v>0.10890728816440766</v>
      </c>
      <c r="CN24" s="277">
        <f t="shared" si="53"/>
        <v>0</v>
      </c>
      <c r="CO24" s="279"/>
    </row>
    <row r="25" spans="1:93">
      <c r="A25" s="71" t="s">
        <v>223</v>
      </c>
      <c r="B25" s="240" t="s">
        <v>34</v>
      </c>
      <c r="C25" s="27"/>
      <c r="D25" s="70">
        <f>'Op Cost - Performance'!F15</f>
        <v>4097893</v>
      </c>
      <c r="E25" s="175">
        <f>'Ridership'!$F15</f>
        <v>242131</v>
      </c>
      <c r="F25" s="175">
        <f>'Revenue Hours - Sizing'!F15</f>
        <v>32391</v>
      </c>
      <c r="G25" s="175">
        <f>'Revenue Miles - Sizing'!F15</f>
        <v>522819</v>
      </c>
      <c r="H25" s="176">
        <f t="shared" si="45"/>
        <v>5.8235737468698614E-3</v>
      </c>
      <c r="I25" s="110">
        <f t="shared" si="0"/>
        <v>5.8235737468698614E-3</v>
      </c>
      <c r="J25" s="111"/>
      <c r="K25" s="112">
        <f>'Ridership'!C15/'Revenue Hours'!B15</f>
        <v>6.4797153630255435</v>
      </c>
      <c r="L25" s="177">
        <f>'Ridership'!D15/'Revenue Hours'!C15</f>
        <v>7.8693923906871097</v>
      </c>
      <c r="M25" s="177">
        <f>'Ridership'!E15/'Revenue Hours'!D15</f>
        <v>7.4226101888952494</v>
      </c>
      <c r="N25" s="177">
        <f>'Ridership'!F15/'Revenue Hours'!E15</f>
        <v>7.4752554721990681</v>
      </c>
      <c r="O25" s="178">
        <f t="shared" si="1"/>
        <v>0.95114128249307706</v>
      </c>
      <c r="P25" s="179">
        <f t="shared" si="2"/>
        <v>5.5390414022908141E-3</v>
      </c>
      <c r="Q25" s="113">
        <f t="shared" si="3"/>
        <v>5.4837776446016485E-3</v>
      </c>
      <c r="R25" s="114">
        <f>'Ridership'!C15/'Revenue Miles'!C15</f>
        <v>0.42963025620782347</v>
      </c>
      <c r="S25" s="177">
        <f>'Ridership'!D15/'Revenue Miles'!D15</f>
        <v>0.50038763229943484</v>
      </c>
      <c r="T25" s="177">
        <f>'Ridership'!E15/'Revenue Miles'!E15</f>
        <v>0.45855198947621539</v>
      </c>
      <c r="U25" s="177">
        <f>'Ridership'!F15/'Revenue Miles'!F15</f>
        <v>0.4631258619139702</v>
      </c>
      <c r="V25" s="178">
        <f t="shared" si="4"/>
        <v>0.92700439026444326</v>
      </c>
      <c r="W25" s="179">
        <f t="shared" si="5"/>
        <v>5.398478430377115E-3</v>
      </c>
      <c r="X25" s="113">
        <f t="shared" si="6"/>
        <v>5.3353292968034115E-3</v>
      </c>
      <c r="Y25" s="262">
        <f>'Op Cost - Performance'!C15/'Revenue Hours'!B15</f>
        <v>89.842457403679873</v>
      </c>
      <c r="Z25" s="263">
        <f>'Op Cost - Performance'!D15/'Revenue Hours'!C15</f>
        <v>122.89167251227578</v>
      </c>
      <c r="AA25" s="263">
        <f>'Op Cost - Performance'!E15/'Revenue Hours'!D15</f>
        <v>116.41233543216943</v>
      </c>
      <c r="AB25" s="263">
        <f>'Op Cost - Performance'!F15/'Revenue Hours'!E15</f>
        <v>126.51332160167948</v>
      </c>
      <c r="AC25" s="178">
        <f t="shared" si="7"/>
        <v>1.0599977894920345</v>
      </c>
      <c r="AD25" s="179">
        <f t="shared" si="8"/>
        <v>5.4939489540450819E-3</v>
      </c>
      <c r="AE25" s="113">
        <f t="shared" si="9"/>
        <v>5.4777495840242678E-3</v>
      </c>
      <c r="AF25" s="262">
        <f>'Op Cost - Performance'!C15/'Revenue Miles'!C15</f>
        <v>5.9569033252504751</v>
      </c>
      <c r="AG25" s="263">
        <f>'Op Cost - Performance'!D15/'Revenue Miles'!D15</f>
        <v>7.8142593461864411</v>
      </c>
      <c r="AH25" s="263">
        <f>'Op Cost - Performance'!E15/'Revenue Miles'!E15</f>
        <v>7.1916895342093721</v>
      </c>
      <c r="AI25" s="263">
        <f>'Op Cost - Performance'!F15/'Revenue Miles'!F15</f>
        <v>7.8380720670059807</v>
      </c>
      <c r="AJ25" s="178">
        <f t="shared" si="10"/>
        <v>1.0321306081034063</v>
      </c>
      <c r="AK25" s="179">
        <f t="shared" si="11"/>
        <v>5.6422837392362396E-3</v>
      </c>
      <c r="AL25" s="113">
        <f t="shared" si="12"/>
        <v>5.6363762152744244E-3</v>
      </c>
      <c r="AM25" s="262">
        <f>'Op Cost - Performance'!C15/'Ridership'!C15</f>
        <v>13.865185794477576</v>
      </c>
      <c r="AN25" s="263">
        <f>'Op Cost - Performance'!D15/'Ridership'!D15</f>
        <v>15.616411841111102</v>
      </c>
      <c r="AO25" s="263">
        <f>'Op Cost - Performance'!E15/'Ridership'!E15</f>
        <v>15.683476899585882</v>
      </c>
      <c r="AP25" s="263">
        <f>'Op Cost - Performance'!F15/'Ridership'!F15</f>
        <v>16.924280657990924</v>
      </c>
      <c r="AQ25" s="264">
        <f t="shared" si="13"/>
        <v>1.1096388693538357</v>
      </c>
      <c r="AR25" s="179">
        <f t="shared" si="14"/>
        <v>5.248170290088199E-3</v>
      </c>
      <c r="AS25" s="115">
        <f t="shared" si="15"/>
        <v>5.2298949516347238E-3</v>
      </c>
      <c r="AT25" s="111"/>
      <c r="AU25" s="116">
        <f t="shared" si="16"/>
        <v>1.0967555289203297E-3</v>
      </c>
      <c r="AV25" s="180">
        <f t="shared" si="17"/>
        <v>1.0670658593606823E-3</v>
      </c>
      <c r="AW25" s="180">
        <f t="shared" si="18"/>
        <v>1.0955499168048535E-3</v>
      </c>
      <c r="AX25" s="180">
        <f t="shared" si="19"/>
        <v>1.1272752430548849E-3</v>
      </c>
      <c r="AY25" s="117">
        <f t="shared" si="20"/>
        <v>1.0459789903269447E-3</v>
      </c>
      <c r="AZ25" s="111"/>
      <c r="BA25" s="118">
        <f t="shared" si="21"/>
        <v>152229.87360418119</v>
      </c>
      <c r="BB25" s="181">
        <f t="shared" si="22"/>
        <v>148108.94188764427</v>
      </c>
      <c r="BC25" s="181">
        <f t="shared" si="23"/>
        <v>152062.53441589803</v>
      </c>
      <c r="BD25" s="181">
        <f t="shared" si="24"/>
        <v>156466.01566376371</v>
      </c>
      <c r="BE25" s="181">
        <f t="shared" si="25"/>
        <v>145182.08050143011</v>
      </c>
      <c r="BF25" s="119">
        <f t="shared" si="26"/>
        <v>754049.44607291732</v>
      </c>
      <c r="BH25" s="257">
        <f>'Op Cost - Performance'!F15</f>
        <v>4097893</v>
      </c>
      <c r="BI25" s="182">
        <f t="shared" si="27"/>
        <v>0.18400906174780973</v>
      </c>
      <c r="BJ25" s="183">
        <f t="shared" si="28"/>
        <v>754049.44607291732</v>
      </c>
      <c r="BK25" s="138">
        <f t="shared" si="29"/>
        <v>0</v>
      </c>
      <c r="BM25" s="52">
        <f t="shared" si="30"/>
        <v>754049.44607291732</v>
      </c>
      <c r="BN25" s="184">
        <f t="shared" si="31"/>
        <v>6.2277840135195016E-3</v>
      </c>
      <c r="BO25" s="259">
        <f t="shared" si="32"/>
        <v>10193.841391345995</v>
      </c>
      <c r="BP25" s="259">
        <f t="shared" si="46"/>
        <v>764243.28746426327</v>
      </c>
      <c r="BQ25" s="185">
        <f t="shared" si="47"/>
        <v>0.18649664290020829</v>
      </c>
      <c r="BR25" s="142">
        <f t="shared" si="33"/>
        <v>0</v>
      </c>
      <c r="BS25" s="11"/>
      <c r="BT25" s="256">
        <f t="shared" si="34"/>
        <v>4097893</v>
      </c>
      <c r="BU25" s="186">
        <f t="shared" si="48"/>
        <v>0.18649664290020829</v>
      </c>
      <c r="BV25" s="187">
        <f t="shared" si="35"/>
        <v>764243.28746426327</v>
      </c>
      <c r="BW25" s="143">
        <f t="shared" si="36"/>
        <v>0</v>
      </c>
      <c r="BY25" s="52">
        <f t="shared" si="49"/>
        <v>764243.28746426327</v>
      </c>
      <c r="BZ25" s="188">
        <f t="shared" si="37"/>
        <v>6.2277840135195025E-3</v>
      </c>
      <c r="CA25" s="189">
        <f t="shared" si="38"/>
        <v>0</v>
      </c>
      <c r="CB25" s="147">
        <f t="shared" si="50"/>
        <v>764243.28746426327</v>
      </c>
      <c r="CC25" s="190">
        <f t="shared" si="51"/>
        <v>0.18649664290020829</v>
      </c>
      <c r="CD25" s="148">
        <f t="shared" si="39"/>
        <v>0</v>
      </c>
      <c r="CE25" s="97"/>
      <c r="CF25" s="154">
        <f t="shared" si="40"/>
        <v>1229367.8999999999</v>
      </c>
      <c r="CG25" s="189">
        <f t="shared" si="41"/>
        <v>0</v>
      </c>
      <c r="CH25" s="266">
        <f t="shared" si="42"/>
        <v>764243.28746426327</v>
      </c>
      <c r="CI25" s="155">
        <f t="shared" si="43"/>
        <v>0.18649664290020829</v>
      </c>
      <c r="CJ25" s="275">
        <v>758875.30657787633</v>
      </c>
      <c r="CK25" s="276">
        <f t="shared" si="44"/>
        <v>7.0736006822961165E-3</v>
      </c>
      <c r="CL25" s="277">
        <f t="shared" si="52"/>
        <v>7.7947887049669623E-2</v>
      </c>
      <c r="CM25" s="278">
        <f>'Ridership'!P15</f>
        <v>-6.6378505934157464E-2</v>
      </c>
      <c r="CN25" s="277">
        <f t="shared" si="53"/>
        <v>0</v>
      </c>
      <c r="CO25" s="279"/>
    </row>
    <row r="26" spans="1:93">
      <c r="A26" s="71" t="s">
        <v>223</v>
      </c>
      <c r="B26" s="240" t="s">
        <v>36</v>
      </c>
      <c r="C26" s="27"/>
      <c r="D26" s="70">
        <f>'Op Cost - Performance'!F16</f>
        <v>749264</v>
      </c>
      <c r="E26" s="175">
        <f>'Ridership'!$F16</f>
        <v>101678</v>
      </c>
      <c r="F26" s="175">
        <f>'Revenue Hours - Sizing'!F16</f>
        <v>11641</v>
      </c>
      <c r="G26" s="175">
        <f>'Revenue Miles - Sizing'!F16</f>
        <v>170330</v>
      </c>
      <c r="H26" s="176">
        <f t="shared" si="45"/>
        <v>1.584634608718807E-3</v>
      </c>
      <c r="I26" s="110">
        <f t="shared" si="0"/>
        <v>1.584634608718807E-3</v>
      </c>
      <c r="J26" s="111"/>
      <c r="K26" s="112">
        <f>'Ridership'!C16/'Revenue Hours'!B16</f>
        <v>6.5625580805947452</v>
      </c>
      <c r="L26" s="177">
        <f>'Ridership'!D16/'Revenue Hours'!C16</f>
        <v>7.7980103806228378</v>
      </c>
      <c r="M26" s="177">
        <f>'Ridership'!E16/'Revenue Hours'!D16</f>
        <v>8.5926918609845444</v>
      </c>
      <c r="N26" s="177">
        <f>'Ridership'!F16/'Revenue Hours'!E16</f>
        <v>8.7344729834206678</v>
      </c>
      <c r="O26" s="178">
        <f t="shared" si="1"/>
        <v>0.99602789689270654</v>
      </c>
      <c r="P26" s="179">
        <f t="shared" si="2"/>
        <v>1.5783402766655903E-3</v>
      </c>
      <c r="Q26" s="113">
        <f t="shared" si="3"/>
        <v>1.5625929644023848E-3</v>
      </c>
      <c r="R26" s="114">
        <f>'Ridership'!C16/'Revenue Miles'!C16</f>
        <v>0.44629120011030743</v>
      </c>
      <c r="S26" s="177">
        <f>'Ridership'!D16/'Revenue Miles'!D16</f>
        <v>0.52648024202497345</v>
      </c>
      <c r="T26" s="177">
        <f>'Ridership'!E16/'Revenue Miles'!E16</f>
        <v>0.57041017246696557</v>
      </c>
      <c r="U26" s="177">
        <f>'Ridership'!F16/'Revenue Miles'!F16</f>
        <v>0.59694710268302709</v>
      </c>
      <c r="V26" s="178">
        <f t="shared" si="4"/>
        <v>0.99441424047509086</v>
      </c>
      <c r="W26" s="179">
        <f t="shared" si="5"/>
        <v>1.5757832208596553E-3</v>
      </c>
      <c r="X26" s="113">
        <f t="shared" si="6"/>
        <v>1.5573503704962399E-3</v>
      </c>
      <c r="Y26" s="262">
        <f>'Op Cost - Performance'!C16/'Revenue Hours'!B16</f>
        <v>51.194390470558417</v>
      </c>
      <c r="Z26" s="263">
        <f>'Op Cost - Performance'!D16/'Revenue Hours'!C16</f>
        <v>60.816435986159171</v>
      </c>
      <c r="AA26" s="263">
        <f>'Op Cost - Performance'!E16/'Revenue Hours'!D16</f>
        <v>62.393102832127219</v>
      </c>
      <c r="AB26" s="263">
        <f>'Op Cost - Performance'!F16/'Revenue Hours'!E16</f>
        <v>64.364229877158323</v>
      </c>
      <c r="AC26" s="178">
        <f t="shared" si="7"/>
        <v>1.0131282232661558</v>
      </c>
      <c r="AD26" s="179">
        <f t="shared" si="8"/>
        <v>1.5641007449286235E-3</v>
      </c>
      <c r="AE26" s="113">
        <f t="shared" si="9"/>
        <v>1.559488862486892E-3</v>
      </c>
      <c r="AF26" s="262">
        <f>'Op Cost - Performance'!C16/'Revenue Miles'!C16</f>
        <v>3.4815091434513583</v>
      </c>
      <c r="AG26" s="263">
        <f>'Op Cost - Performance'!D16/'Revenue Miles'!D16</f>
        <v>4.1060027332936189</v>
      </c>
      <c r="AH26" s="263">
        <f>'Op Cost - Performance'!E16/'Revenue Miles'!E16</f>
        <v>4.1418522999549259</v>
      </c>
      <c r="AI26" s="263">
        <f>'Op Cost - Performance'!F16/'Revenue Miles'!F16</f>
        <v>4.3988962602007868</v>
      </c>
      <c r="AJ26" s="178">
        <f t="shared" si="10"/>
        <v>1.0114972297519476</v>
      </c>
      <c r="AK26" s="179">
        <f t="shared" si="11"/>
        <v>1.5666227866065552E-3</v>
      </c>
      <c r="AL26" s="113">
        <f t="shared" si="12"/>
        <v>1.564982517864548E-3</v>
      </c>
      <c r="AM26" s="262">
        <f>'Op Cost - Performance'!C16/'Ridership'!C16</f>
        <v>7.8009809348489334</v>
      </c>
      <c r="AN26" s="263">
        <f>'Op Cost - Performance'!D16/'Ridership'!D16</f>
        <v>7.7989683288035945</v>
      </c>
      <c r="AO26" s="263">
        <f>'Op Cost - Performance'!E16/'Ridership'!E16</f>
        <v>7.261182390983385</v>
      </c>
      <c r="AP26" s="263">
        <f>'Op Cost - Performance'!F16/'Ridership'!F16</f>
        <v>7.3689883750663858</v>
      </c>
      <c r="AQ26" s="264">
        <f t="shared" si="13"/>
        <v>1.017407198644886</v>
      </c>
      <c r="AR26" s="179">
        <f t="shared" si="14"/>
        <v>1.5575225050790161E-3</v>
      </c>
      <c r="AS26" s="115">
        <f t="shared" si="15"/>
        <v>1.5520988527667082E-3</v>
      </c>
      <c r="AT26" s="111"/>
      <c r="AU26" s="116">
        <f t="shared" si="16"/>
        <v>3.1251859288047699E-4</v>
      </c>
      <c r="AV26" s="180">
        <f t="shared" si="17"/>
        <v>3.11470074099248E-4</v>
      </c>
      <c r="AW26" s="180">
        <f t="shared" si="18"/>
        <v>3.118977724973784E-4</v>
      </c>
      <c r="AX26" s="180">
        <f t="shared" si="19"/>
        <v>3.1299650357290962E-4</v>
      </c>
      <c r="AY26" s="117">
        <f t="shared" si="20"/>
        <v>3.1041977055334166E-4</v>
      </c>
      <c r="AZ26" s="111"/>
      <c r="BA26" s="118">
        <f t="shared" si="21"/>
        <v>43377.639445305671</v>
      </c>
      <c r="BB26" s="181">
        <f t="shared" si="22"/>
        <v>43232.104841349552</v>
      </c>
      <c r="BC26" s="181">
        <f t="shared" si="23"/>
        <v>43291.469459417349</v>
      </c>
      <c r="BD26" s="181">
        <f t="shared" si="24"/>
        <v>43443.97353926253</v>
      </c>
      <c r="BE26" s="181">
        <f t="shared" si="25"/>
        <v>43086.322511720689</v>
      </c>
      <c r="BF26" s="119">
        <f t="shared" si="26"/>
        <v>216431.5097970558</v>
      </c>
      <c r="BH26" s="257">
        <f>'Op Cost - Performance'!F16</f>
        <v>749264</v>
      </c>
      <c r="BI26" s="182">
        <f t="shared" si="27"/>
        <v>0.28885881317807316</v>
      </c>
      <c r="BJ26" s="183">
        <f t="shared" si="28"/>
        <v>216431.5097970558</v>
      </c>
      <c r="BK26" s="138">
        <f t="shared" si="29"/>
        <v>0</v>
      </c>
      <c r="BM26" s="52">
        <f t="shared" si="30"/>
        <v>216431.5097970558</v>
      </c>
      <c r="BN26" s="184">
        <f t="shared" si="31"/>
        <v>1.7875335679321635E-3</v>
      </c>
      <c r="BO26" s="259">
        <f t="shared" si="32"/>
        <v>2925.893645902082</v>
      </c>
      <c r="BP26" s="259">
        <f t="shared" si="46"/>
        <v>219357.40344295788</v>
      </c>
      <c r="BQ26" s="185">
        <f t="shared" si="47"/>
        <v>0.29276383683582541</v>
      </c>
      <c r="BR26" s="142">
        <f t="shared" si="33"/>
        <v>0</v>
      </c>
      <c r="BS26" s="11"/>
      <c r="BT26" s="256">
        <f t="shared" si="34"/>
        <v>749264</v>
      </c>
      <c r="BU26" s="186">
        <f t="shared" si="48"/>
        <v>0.29276383683582541</v>
      </c>
      <c r="BV26" s="187">
        <f t="shared" si="35"/>
        <v>219357.40344295788</v>
      </c>
      <c r="BW26" s="143">
        <f t="shared" si="36"/>
        <v>0</v>
      </c>
      <c r="BY26" s="52">
        <f t="shared" si="49"/>
        <v>219357.40344295788</v>
      </c>
      <c r="BZ26" s="188">
        <f t="shared" si="37"/>
        <v>1.787533567932164E-3</v>
      </c>
      <c r="CA26" s="189">
        <f t="shared" si="38"/>
        <v>0</v>
      </c>
      <c r="CB26" s="147">
        <f t="shared" si="50"/>
        <v>219357.40344295788</v>
      </c>
      <c r="CC26" s="190">
        <f t="shared" si="51"/>
        <v>0.29276383683582541</v>
      </c>
      <c r="CD26" s="148">
        <f t="shared" si="39"/>
        <v>0</v>
      </c>
      <c r="CE26" s="97"/>
      <c r="CF26" s="154">
        <f t="shared" si="40"/>
        <v>224779.19999999998</v>
      </c>
      <c r="CG26" s="189">
        <f t="shared" si="41"/>
        <v>0</v>
      </c>
      <c r="CH26" s="266">
        <f t="shared" si="42"/>
        <v>219357.40344295788</v>
      </c>
      <c r="CI26" s="155">
        <f t="shared" si="43"/>
        <v>0.29276383683582541</v>
      </c>
      <c r="CJ26" s="275">
        <v>196084.59305415963</v>
      </c>
      <c r="CK26" s="276">
        <f t="shared" si="44"/>
        <v>0.11868760327523625</v>
      </c>
      <c r="CL26" s="277">
        <f t="shared" si="52"/>
        <v>1.3078838218064439</v>
      </c>
      <c r="CM26" s="278">
        <f>'Ridership'!P16</f>
        <v>5.7185634968495914E-2</v>
      </c>
      <c r="CN26" s="277">
        <f t="shared" si="53"/>
        <v>0</v>
      </c>
      <c r="CO26" s="279"/>
    </row>
    <row r="27" spans="1:93">
      <c r="A27" s="71" t="s">
        <v>223</v>
      </c>
      <c r="B27" s="240" t="s">
        <v>38</v>
      </c>
      <c r="C27" s="27"/>
      <c r="D27" s="70">
        <f>'Op Cost - Performance'!F17</f>
        <v>9104264</v>
      </c>
      <c r="E27" s="175">
        <f>'Ridership'!$F17</f>
        <v>704093</v>
      </c>
      <c r="F27" s="175">
        <f>'Revenue Hours - Sizing'!F17</f>
        <v>82740</v>
      </c>
      <c r="G27" s="175">
        <f>'Revenue Miles - Sizing'!F17</f>
        <v>1183040</v>
      </c>
      <c r="H27" s="176">
        <f t="shared" si="45"/>
        <v>1.4040089340883506E-2</v>
      </c>
      <c r="I27" s="110">
        <f t="shared" si="0"/>
        <v>1.4040089340883506E-2</v>
      </c>
      <c r="J27" s="111"/>
      <c r="K27" s="112">
        <f>'Ridership'!C17/'Revenue Hours'!B17</f>
        <v>5.9993407953505891</v>
      </c>
      <c r="L27" s="177">
        <f>'Ridership'!D17/'Revenue Hours'!C17</f>
        <v>6.5244789507405869</v>
      </c>
      <c r="M27" s="177">
        <f>'Ridership'!E17/'Revenue Hours'!D17</f>
        <v>7.3199482146995152</v>
      </c>
      <c r="N27" s="177">
        <f>'Ridership'!F17/'Revenue Hours'!E17</f>
        <v>8.5097051003142372</v>
      </c>
      <c r="O27" s="178">
        <f t="shared" si="1"/>
        <v>1.0196950540848473</v>
      </c>
      <c r="P27" s="179">
        <f t="shared" si="2"/>
        <v>1.4316609659808294E-2</v>
      </c>
      <c r="Q27" s="113">
        <f t="shared" si="3"/>
        <v>1.4173770928391196E-2</v>
      </c>
      <c r="R27" s="114">
        <f>'Ridership'!C17/'Revenue Miles'!C17</f>
        <v>0.41539215330115964</v>
      </c>
      <c r="S27" s="177">
        <f>'Ridership'!D17/'Revenue Miles'!D17</f>
        <v>0.45126387982562621</v>
      </c>
      <c r="T27" s="177">
        <f>'Ridership'!E17/'Revenue Miles'!E17</f>
        <v>0.50592792787142582</v>
      </c>
      <c r="U27" s="177">
        <f>'Ridership'!F17/'Revenue Miles'!F17</f>
        <v>0.59515570056802813</v>
      </c>
      <c r="V27" s="178">
        <f t="shared" si="4"/>
        <v>1.0205889312345129</v>
      </c>
      <c r="W27" s="179">
        <f t="shared" si="5"/>
        <v>1.4329159774849373E-2</v>
      </c>
      <c r="X27" s="113">
        <f t="shared" si="6"/>
        <v>1.4161543281370545E-2</v>
      </c>
      <c r="Y27" s="262">
        <f>'Op Cost - Performance'!C17/'Revenue Hours'!B17</f>
        <v>103.53699617930367</v>
      </c>
      <c r="Z27" s="263">
        <f>'Op Cost - Performance'!D17/'Revenue Hours'!C17</f>
        <v>108.98527619693715</v>
      </c>
      <c r="AA27" s="263">
        <f>'Op Cost - Performance'!E17/'Revenue Hours'!D17</f>
        <v>112.5272881486005</v>
      </c>
      <c r="AB27" s="263">
        <f>'Op Cost - Performance'!F17/'Revenue Hours'!E17</f>
        <v>110.03461445491902</v>
      </c>
      <c r="AC27" s="178">
        <f t="shared" si="7"/>
        <v>0.95717931786468891</v>
      </c>
      <c r="AD27" s="179">
        <f t="shared" si="8"/>
        <v>1.4668191297953092E-2</v>
      </c>
      <c r="AE27" s="113">
        <f t="shared" si="9"/>
        <v>1.4624940903681286E-2</v>
      </c>
      <c r="AF27" s="262">
        <f>'Op Cost - Performance'!C17/'Revenue Miles'!C17</f>
        <v>7.168863589577354</v>
      </c>
      <c r="AG27" s="263">
        <f>'Op Cost - Performance'!D17/'Revenue Miles'!D17</f>
        <v>7.537938117635405</v>
      </c>
      <c r="AH27" s="263">
        <f>'Op Cost - Performance'!E17/'Revenue Miles'!E17</f>
        <v>7.7774727432753172</v>
      </c>
      <c r="AI27" s="263">
        <f>'Op Cost - Performance'!F17/'Revenue Miles'!F17</f>
        <v>7.6956518799026234</v>
      </c>
      <c r="AJ27" s="178">
        <f t="shared" si="10"/>
        <v>0.9574291622295461</v>
      </c>
      <c r="AK27" s="179">
        <f t="shared" si="11"/>
        <v>1.466436358402603E-2</v>
      </c>
      <c r="AL27" s="113">
        <f t="shared" si="12"/>
        <v>1.4649009857900032E-2</v>
      </c>
      <c r="AM27" s="262">
        <f>'Op Cost - Performance'!C17/'Ridership'!C17</f>
        <v>17.258062129016487</v>
      </c>
      <c r="AN27" s="263">
        <f>'Op Cost - Performance'!D17/'Ridership'!D17</f>
        <v>16.704058212122263</v>
      </c>
      <c r="AO27" s="263">
        <f>'Op Cost - Performance'!E17/'Ridership'!E17</f>
        <v>15.372689102175535</v>
      </c>
      <c r="AP27" s="263">
        <f>'Op Cost - Performance'!F17/'Ridership'!F17</f>
        <v>12.930485035357545</v>
      </c>
      <c r="AQ27" s="178">
        <f t="shared" si="13"/>
        <v>0.94483437180478624</v>
      </c>
      <c r="AR27" s="179">
        <f t="shared" si="14"/>
        <v>1.4859841851503209E-2</v>
      </c>
      <c r="AS27" s="115">
        <f t="shared" si="15"/>
        <v>1.4808096457548629E-2</v>
      </c>
      <c r="AT27" s="111"/>
      <c r="AU27" s="116">
        <f t="shared" si="16"/>
        <v>2.8347541856782394E-3</v>
      </c>
      <c r="AV27" s="180">
        <f t="shared" si="17"/>
        <v>2.8323086562741092E-3</v>
      </c>
      <c r="AW27" s="180">
        <f t="shared" si="18"/>
        <v>2.9249881807362575E-3</v>
      </c>
      <c r="AX27" s="180">
        <f t="shared" si="19"/>
        <v>2.9298019715800067E-3</v>
      </c>
      <c r="AY27" s="117">
        <f t="shared" si="20"/>
        <v>2.9616192915097261E-3</v>
      </c>
      <c r="AZ27" s="111"/>
      <c r="BA27" s="118">
        <f t="shared" si="21"/>
        <v>393464.41390592651</v>
      </c>
      <c r="BB27" s="181">
        <f t="shared" si="22"/>
        <v>393124.97396487376</v>
      </c>
      <c r="BC27" s="181">
        <f t="shared" si="23"/>
        <v>405988.90938397049</v>
      </c>
      <c r="BD27" s="181">
        <f t="shared" si="24"/>
        <v>406657.06445807556</v>
      </c>
      <c r="BE27" s="181">
        <f t="shared" si="25"/>
        <v>411073.31444597681</v>
      </c>
      <c r="BF27" s="119">
        <f t="shared" si="26"/>
        <v>2010308.6761588233</v>
      </c>
      <c r="BH27" s="257">
        <f>'Op Cost - Performance'!F17</f>
        <v>9104264</v>
      </c>
      <c r="BI27" s="182">
        <f t="shared" si="27"/>
        <v>0.22080957627753581</v>
      </c>
      <c r="BJ27" s="183">
        <f t="shared" si="28"/>
        <v>2010308.6761588233</v>
      </c>
      <c r="BK27" s="138">
        <f t="shared" si="29"/>
        <v>0</v>
      </c>
      <c r="BM27" s="52">
        <f t="shared" si="30"/>
        <v>2010308.6761588233</v>
      </c>
      <c r="BN27" s="184">
        <f t="shared" si="31"/>
        <v>1.6603378333906765E-2</v>
      </c>
      <c r="BO27" s="259">
        <f t="shared" si="32"/>
        <v>27176.954905458701</v>
      </c>
      <c r="BP27" s="259">
        <f t="shared" si="46"/>
        <v>2037485.631064282</v>
      </c>
      <c r="BQ27" s="185">
        <f t="shared" si="47"/>
        <v>0.22379465611545118</v>
      </c>
      <c r="BR27" s="142">
        <f t="shared" si="33"/>
        <v>0</v>
      </c>
      <c r="BS27" s="11"/>
      <c r="BT27" s="256">
        <f t="shared" si="34"/>
        <v>9104264</v>
      </c>
      <c r="BU27" s="186">
        <f t="shared" si="48"/>
        <v>0.22379465611545118</v>
      </c>
      <c r="BV27" s="187">
        <f t="shared" si="35"/>
        <v>2037485.631064282</v>
      </c>
      <c r="BW27" s="143">
        <f t="shared" si="36"/>
        <v>0</v>
      </c>
      <c r="BY27" s="52">
        <f t="shared" si="49"/>
        <v>2037485.631064282</v>
      </c>
      <c r="BZ27" s="188">
        <f t="shared" si="37"/>
        <v>1.6603378333906769E-2</v>
      </c>
      <c r="CA27" s="189">
        <f t="shared" si="38"/>
        <v>0</v>
      </c>
      <c r="CB27" s="147">
        <f t="shared" si="50"/>
        <v>2037485.631064282</v>
      </c>
      <c r="CC27" s="190">
        <f t="shared" si="51"/>
        <v>0.22379465611545118</v>
      </c>
      <c r="CD27" s="148">
        <f t="shared" si="39"/>
        <v>0</v>
      </c>
      <c r="CE27" s="97"/>
      <c r="CF27" s="154">
        <f t="shared" si="40"/>
        <v>2731279.1999999997</v>
      </c>
      <c r="CG27" s="189">
        <f t="shared" si="41"/>
        <v>0</v>
      </c>
      <c r="CH27" s="266">
        <f t="shared" si="42"/>
        <v>2037485.631064282</v>
      </c>
      <c r="CI27" s="155">
        <f t="shared" si="43"/>
        <v>0.22379465611545118</v>
      </c>
      <c r="CJ27" s="275">
        <v>1666636.1229349524</v>
      </c>
      <c r="CK27" s="276">
        <f t="shared" si="44"/>
        <v>0.22251378271836705</v>
      </c>
      <c r="CL27" s="277">
        <f t="shared" si="52"/>
        <v>2.4520014602656257</v>
      </c>
      <c r="CM27" s="278">
        <f>'Ridership'!P17</f>
        <v>0.20224400622215696</v>
      </c>
      <c r="CN27" s="277">
        <f t="shared" si="53"/>
        <v>0</v>
      </c>
      <c r="CO27" s="279"/>
    </row>
    <row r="28" spans="1:93">
      <c r="A28" s="71" t="s">
        <v>223</v>
      </c>
      <c r="B28" s="240" t="s">
        <v>54</v>
      </c>
      <c r="C28" s="27"/>
      <c r="D28" s="70">
        <f>'Op Cost - Performance'!F18</f>
        <v>176795</v>
      </c>
      <c r="E28" s="175">
        <f>'Ridership'!$F18</f>
        <v>15947</v>
      </c>
      <c r="F28" s="175">
        <f>'Revenue Hours - Sizing'!F18</f>
        <v>3083</v>
      </c>
      <c r="G28" s="175">
        <f>'Revenue Miles - Sizing'!F18</f>
        <v>52054</v>
      </c>
      <c r="H28" s="191">
        <f t="shared" si="45"/>
        <v>3.5698750920754371E-4</v>
      </c>
      <c r="I28" s="110">
        <f t="shared" si="0"/>
        <v>3.5698750920754371E-4</v>
      </c>
      <c r="J28" s="111"/>
      <c r="K28" s="112">
        <f>'Ridership'!C18/'Revenue Hours'!B18</f>
        <v>4.8892540256325994</v>
      </c>
      <c r="L28" s="177">
        <f>'Ridership'!D18/'Revenue Hours'!C18</f>
        <v>4.7219286657859971</v>
      </c>
      <c r="M28" s="177">
        <f>'Ridership'!E18/'Revenue Hours'!D18</f>
        <v>5.099201065246338</v>
      </c>
      <c r="N28" s="177">
        <f>'Ridership'!F18/'Revenue Hours'!E18</f>
        <v>5.172559195588712</v>
      </c>
      <c r="O28" s="178">
        <f t="shared" si="1"/>
        <v>0.92586426258690502</v>
      </c>
      <c r="P28" s="179">
        <f t="shared" si="2"/>
        <v>3.3052197696517842E-4</v>
      </c>
      <c r="Q28" s="113">
        <f t="shared" si="3"/>
        <v>3.2722431494763273E-4</v>
      </c>
      <c r="R28" s="114">
        <f>'Ridership'!C18/'Revenue Miles'!C18</f>
        <v>0.30552817479875144</v>
      </c>
      <c r="S28" s="177">
        <f>'Ridership'!D18/'Revenue Miles'!D18</f>
        <v>0.29334044561158756</v>
      </c>
      <c r="T28" s="177">
        <f>'Ridership'!E18/'Revenue Miles'!E18</f>
        <v>0.30213613680743212</v>
      </c>
      <c r="U28" s="177">
        <f>'Ridership'!F18/'Revenue Miles'!F18</f>
        <v>0.30635493910170208</v>
      </c>
      <c r="V28" s="178">
        <f t="shared" si="4"/>
        <v>0.90606271703736574</v>
      </c>
      <c r="W28" s="179">
        <f t="shared" si="5"/>
        <v>3.234530725409887E-4</v>
      </c>
      <c r="X28" s="113">
        <f t="shared" si="6"/>
        <v>3.1966945433335075E-4</v>
      </c>
      <c r="Y28" s="262">
        <f>'Op Cost - Performance'!C18/'Revenue Hours'!B18</f>
        <v>35.43739730529083</v>
      </c>
      <c r="Z28" s="263">
        <f>'Op Cost - Performance'!D18/'Revenue Hours'!C18</f>
        <v>58.537318361955087</v>
      </c>
      <c r="AA28" s="263">
        <f>'Op Cost - Performance'!E18/'Revenue Hours'!D18</f>
        <v>55.163115845539281</v>
      </c>
      <c r="AB28" s="263">
        <f>'Op Cost - Performance'!F18/'Revenue Hours'!E18</f>
        <v>57.345118391177422</v>
      </c>
      <c r="AC28" s="178">
        <f t="shared" si="7"/>
        <v>1.1305432963501958</v>
      </c>
      <c r="AD28" s="179">
        <f t="shared" si="8"/>
        <v>3.1576633142669461E-4</v>
      </c>
      <c r="AE28" s="113">
        <f t="shared" si="9"/>
        <v>3.1483526787192138E-4</v>
      </c>
      <c r="AF28" s="262">
        <f>'Op Cost - Performance'!C18/'Revenue Miles'!C18</f>
        <v>2.2144734680466569</v>
      </c>
      <c r="AG28" s="263">
        <f>'Op Cost - Performance'!D18/'Revenue Miles'!D18</f>
        <v>3.6365147101062738</v>
      </c>
      <c r="AH28" s="263">
        <f>'Op Cost - Performance'!E18/'Revenue Miles'!E18</f>
        <v>3.2685062821751907</v>
      </c>
      <c r="AI28" s="263">
        <f>'Op Cost - Performance'!F18/'Revenue Miles'!F18</f>
        <v>3.3963768394359701</v>
      </c>
      <c r="AJ28" s="178">
        <f t="shared" si="10"/>
        <v>1.1100474197898198</v>
      </c>
      <c r="AK28" s="179">
        <f t="shared" si="11"/>
        <v>3.2159662987652995E-4</v>
      </c>
      <c r="AL28" s="113">
        <f t="shared" si="12"/>
        <v>3.2125991519062658E-4</v>
      </c>
      <c r="AM28" s="262">
        <f>'Op Cost - Performance'!C18/'Ridership'!C18</f>
        <v>7.2480172066137918</v>
      </c>
      <c r="AN28" s="263">
        <f>'Op Cost - Performance'!D18/'Ridership'!D18</f>
        <v>12.396908658553643</v>
      </c>
      <c r="AO28" s="263">
        <f>'Op Cost - Performance'!E18/'Ridership'!E18</f>
        <v>10.817991904948427</v>
      </c>
      <c r="AP28" s="263">
        <f>'Op Cost - Performance'!F18/'Ridership'!F18</f>
        <v>11.086411237223302</v>
      </c>
      <c r="AQ28" s="264">
        <f t="shared" si="13"/>
        <v>1.2576314235290014</v>
      </c>
      <c r="AR28" s="179">
        <f t="shared" si="14"/>
        <v>2.8385702084781874E-4</v>
      </c>
      <c r="AS28" s="115">
        <f t="shared" si="15"/>
        <v>2.8286856528299335E-4</v>
      </c>
      <c r="AT28" s="111"/>
      <c r="AU28" s="116">
        <f t="shared" si="16"/>
        <v>6.5444862989526552E-5</v>
      </c>
      <c r="AV28" s="180">
        <f t="shared" si="17"/>
        <v>6.3933890866670146E-5</v>
      </c>
      <c r="AW28" s="180">
        <f t="shared" si="18"/>
        <v>6.2967053574384277E-5</v>
      </c>
      <c r="AX28" s="180">
        <f t="shared" si="19"/>
        <v>6.4251983038125313E-5</v>
      </c>
      <c r="AY28" s="117">
        <f t="shared" si="20"/>
        <v>5.6573713056598673E-5</v>
      </c>
      <c r="AZ28" s="111"/>
      <c r="BA28" s="118">
        <f t="shared" si="21"/>
        <v>9083.7592865805273</v>
      </c>
      <c r="BB28" s="181">
        <f t="shared" si="22"/>
        <v>8874.0360718652992</v>
      </c>
      <c r="BC28" s="181">
        <f t="shared" si="23"/>
        <v>8739.8388739306101</v>
      </c>
      <c r="BD28" s="181">
        <f t="shared" si="24"/>
        <v>8918.187325064604</v>
      </c>
      <c r="BE28" s="181">
        <f t="shared" si="25"/>
        <v>7852.4420081139506</v>
      </c>
      <c r="BF28" s="119">
        <f t="shared" si="26"/>
        <v>43468.263565554997</v>
      </c>
      <c r="BH28" s="257">
        <f>'Op Cost - Performance'!F18</f>
        <v>176795</v>
      </c>
      <c r="BI28" s="182">
        <f t="shared" si="27"/>
        <v>0.24586817254761162</v>
      </c>
      <c r="BJ28" s="183">
        <f t="shared" si="28"/>
        <v>43468.263565554997</v>
      </c>
      <c r="BK28" s="138">
        <f t="shared" si="29"/>
        <v>0</v>
      </c>
      <c r="BM28" s="52">
        <f t="shared" si="30"/>
        <v>43468.263565554997</v>
      </c>
      <c r="BN28" s="184">
        <f t="shared" si="31"/>
        <v>3.5900955612244771E-4</v>
      </c>
      <c r="BO28" s="259">
        <f t="shared" si="32"/>
        <v>587.63863119613313</v>
      </c>
      <c r="BP28" s="259">
        <f t="shared" si="46"/>
        <v>44055.902196751129</v>
      </c>
      <c r="BQ28" s="185">
        <f t="shared" si="47"/>
        <v>0.24919201446167102</v>
      </c>
      <c r="BR28" s="142">
        <f t="shared" si="33"/>
        <v>0</v>
      </c>
      <c r="BS28" s="11"/>
      <c r="BT28" s="256">
        <f t="shared" si="34"/>
        <v>176795</v>
      </c>
      <c r="BU28" s="186">
        <f t="shared" si="48"/>
        <v>0.24919201446167102</v>
      </c>
      <c r="BV28" s="187">
        <f t="shared" si="35"/>
        <v>44055.902196751129</v>
      </c>
      <c r="BW28" s="143">
        <f t="shared" si="36"/>
        <v>0</v>
      </c>
      <c r="BY28" s="52">
        <f t="shared" si="49"/>
        <v>44055.902196751129</v>
      </c>
      <c r="BZ28" s="188">
        <f t="shared" si="37"/>
        <v>3.5900955612244777E-4</v>
      </c>
      <c r="CA28" s="189">
        <f t="shared" si="38"/>
        <v>0</v>
      </c>
      <c r="CB28" s="147">
        <f t="shared" si="50"/>
        <v>44055.902196751129</v>
      </c>
      <c r="CC28" s="190">
        <f t="shared" si="51"/>
        <v>0.24919201446167102</v>
      </c>
      <c r="CD28" s="148">
        <f t="shared" si="39"/>
        <v>0</v>
      </c>
      <c r="CE28" s="97"/>
      <c r="CF28" s="154">
        <f t="shared" si="40"/>
        <v>53038.5</v>
      </c>
      <c r="CG28" s="189">
        <f t="shared" si="41"/>
        <v>0</v>
      </c>
      <c r="CH28" s="266">
        <f t="shared" si="42"/>
        <v>44055.902196751129</v>
      </c>
      <c r="CI28" s="155">
        <f t="shared" si="43"/>
        <v>0.24919201446167102</v>
      </c>
      <c r="CJ28" s="275">
        <v>41490.080005839591</v>
      </c>
      <c r="CK28" s="276">
        <f t="shared" si="44"/>
        <v>6.184182316713796E-2</v>
      </c>
      <c r="CL28" s="277">
        <f t="shared" si="52"/>
        <v>0.681468980747296</v>
      </c>
      <c r="CM28" s="278">
        <f>'Ridership'!P18</f>
        <v>4.1062801932367152E-2</v>
      </c>
      <c r="CN28" s="277">
        <f t="shared" si="53"/>
        <v>0</v>
      </c>
      <c r="CO28" s="279"/>
    </row>
    <row r="29" spans="1:93">
      <c r="A29" s="71" t="s">
        <v>224</v>
      </c>
      <c r="B29" s="240" t="s">
        <v>33</v>
      </c>
      <c r="C29" s="27"/>
      <c r="D29" s="70">
        <f>'Op Cost - Performance'!F19</f>
        <v>27572539</v>
      </c>
      <c r="E29" s="175">
        <f>'Ridership'!$F19</f>
        <v>819623</v>
      </c>
      <c r="F29" s="175">
        <f>'Revenue Hours - Sizing'!F19</f>
        <v>188868</v>
      </c>
      <c r="G29" s="175">
        <f>'Revenue Miles - Sizing'!F19</f>
        <v>3946627</v>
      </c>
      <c r="H29" s="191">
        <f t="shared" si="45"/>
        <v>3.5074292182587376E-2</v>
      </c>
      <c r="I29" s="110">
        <f t="shared" si="0"/>
        <v>3.5074292182587376E-2</v>
      </c>
      <c r="J29" s="111"/>
      <c r="K29" s="112">
        <f>'Ridership'!C19/'Revenue Hours'!B19</f>
        <v>4.7546665463609399</v>
      </c>
      <c r="L29" s="177">
        <f>'Ridership'!D19/'Revenue Hours'!C19</f>
        <v>4.8706758029662192</v>
      </c>
      <c r="M29" s="177">
        <f>'Ridership'!E19/'Revenue Hours'!D19</f>
        <v>4.3147563923959691</v>
      </c>
      <c r="N29" s="177">
        <f>'Ridership'!F19/'Revenue Hours'!E19</f>
        <v>4.7672455911777023</v>
      </c>
      <c r="O29" s="178">
        <f t="shared" si="1"/>
        <v>0.91045925210020562</v>
      </c>
      <c r="P29" s="179">
        <f t="shared" si="2"/>
        <v>3.1933713828502588E-2</v>
      </c>
      <c r="Q29" s="113">
        <f t="shared" si="3"/>
        <v>3.1615106890052258E-2</v>
      </c>
      <c r="R29" s="114">
        <f>'Ridership'!C19/'Revenue Miles'!C19</f>
        <v>0.23157738033111441</v>
      </c>
      <c r="S29" s="177">
        <f>'Ridership'!D19/'Revenue Miles'!D19</f>
        <v>0.2523477615168061</v>
      </c>
      <c r="T29" s="177">
        <f>'Ridership'!E19/'Revenue Miles'!E19</f>
        <v>0.20888021254685754</v>
      </c>
      <c r="U29" s="177">
        <f>'Ridership'!F19/'Revenue Miles'!F19</f>
        <v>0.24089611073621148</v>
      </c>
      <c r="V29" s="178">
        <f t="shared" si="4"/>
        <v>0.92338773255599982</v>
      </c>
      <c r="W29" s="179">
        <f t="shared" si="5"/>
        <v>3.2387171129485984E-2</v>
      </c>
      <c r="X29" s="113">
        <f t="shared" si="6"/>
        <v>3.2008319602688753E-2</v>
      </c>
      <c r="Y29" s="262">
        <f>'Op Cost - Performance'!C19/'Revenue Hours'!B19</f>
        <v>176.47999729312113</v>
      </c>
      <c r="Z29" s="263">
        <f>'Op Cost - Performance'!D19/'Revenue Hours'!C19</f>
        <v>174.30295698428236</v>
      </c>
      <c r="AA29" s="263">
        <f>'Op Cost - Performance'!E19/'Revenue Hours'!D19</f>
        <v>157.99991253990368</v>
      </c>
      <c r="AB29" s="263">
        <f>'Op Cost - Performance'!F19/'Revenue Hours'!E19</f>
        <v>160.3725920152622</v>
      </c>
      <c r="AC29" s="178">
        <f t="shared" si="7"/>
        <v>0.90839761532239915</v>
      </c>
      <c r="AD29" s="179">
        <f t="shared" si="8"/>
        <v>3.8611167170599807E-2</v>
      </c>
      <c r="AE29" s="113">
        <f t="shared" si="9"/>
        <v>3.8497318900591486E-2</v>
      </c>
      <c r="AF29" s="262">
        <f>'Op Cost - Performance'!C19/'Revenue Miles'!C19</f>
        <v>8.5955082350123426</v>
      </c>
      <c r="AG29" s="263">
        <f>'Op Cost - Performance'!D19/'Revenue Miles'!D19</f>
        <v>9.0305663526111015</v>
      </c>
      <c r="AH29" s="263">
        <f>'Op Cost - Performance'!E19/'Revenue Miles'!E19</f>
        <v>7.6488803335183189</v>
      </c>
      <c r="AI29" s="263">
        <f>'Op Cost - Performance'!F19/'Revenue Miles'!F19</f>
        <v>8.1038689839383586</v>
      </c>
      <c r="AJ29" s="178">
        <f t="shared" si="10"/>
        <v>0.9197184780455695</v>
      </c>
      <c r="AK29" s="179">
        <f t="shared" si="11"/>
        <v>3.8135900299754055E-2</v>
      </c>
      <c r="AL29" s="113">
        <f t="shared" si="12"/>
        <v>3.8095971654680864E-2</v>
      </c>
      <c r="AM29" s="262">
        <f>'Op Cost - Performance'!C19/'Ridership'!C19</f>
        <v>37.117218541475417</v>
      </c>
      <c r="AN29" s="263">
        <f>'Op Cost - Performance'!D19/'Ridership'!D19</f>
        <v>35.786195599003463</v>
      </c>
      <c r="AO29" s="263">
        <f>'Op Cost - Performance'!E19/'Ridership'!E19</f>
        <v>36.618501294384053</v>
      </c>
      <c r="AP29" s="263">
        <f>'Op Cost - Performance'!F19/'Ridership'!F19</f>
        <v>33.640513992408707</v>
      </c>
      <c r="AQ29" s="178">
        <f t="shared" si="13"/>
        <v>1.0045433027327804</v>
      </c>
      <c r="AR29" s="179">
        <f t="shared" si="14"/>
        <v>3.491565977013688E-2</v>
      </c>
      <c r="AS29" s="115">
        <f t="shared" si="15"/>
        <v>3.4794075396087365E-2</v>
      </c>
      <c r="AT29" s="111"/>
      <c r="AU29" s="116">
        <f t="shared" si="16"/>
        <v>6.3230213780104518E-3</v>
      </c>
      <c r="AV29" s="180">
        <f t="shared" si="17"/>
        <v>6.4016639205377512E-3</v>
      </c>
      <c r="AW29" s="180">
        <f t="shared" si="18"/>
        <v>7.6994637801182974E-3</v>
      </c>
      <c r="AX29" s="180">
        <f t="shared" si="19"/>
        <v>7.6191943309361736E-3</v>
      </c>
      <c r="AY29" s="117">
        <f t="shared" si="20"/>
        <v>6.958815079217473E-3</v>
      </c>
      <c r="AZ29" s="111"/>
      <c r="BA29" s="118">
        <f t="shared" si="21"/>
        <v>877636.5559958698</v>
      </c>
      <c r="BB29" s="181">
        <f t="shared" si="22"/>
        <v>888552.15568345692</v>
      </c>
      <c r="BC29" s="181">
        <f t="shared" si="23"/>
        <v>1068687.0201796102</v>
      </c>
      <c r="BD29" s="181">
        <f t="shared" si="24"/>
        <v>1057545.6055424751</v>
      </c>
      <c r="BE29" s="181">
        <f t="shared" si="25"/>
        <v>965884.8412526201</v>
      </c>
      <c r="BF29" s="119">
        <f t="shared" si="26"/>
        <v>4858306.1786540328</v>
      </c>
      <c r="BH29" s="257">
        <f>'Op Cost - Performance'!F19</f>
        <v>27572539</v>
      </c>
      <c r="BI29" s="182">
        <f t="shared" si="27"/>
        <v>0.17620089969422231</v>
      </c>
      <c r="BJ29" s="183">
        <f t="shared" si="28"/>
        <v>4858306.1786540328</v>
      </c>
      <c r="BK29" s="138">
        <f t="shared" si="29"/>
        <v>0</v>
      </c>
      <c r="BM29" s="52">
        <f t="shared" si="30"/>
        <v>4858306.1786540328</v>
      </c>
      <c r="BN29" s="184">
        <f t="shared" si="31"/>
        <v>4.0125328265646354E-2</v>
      </c>
      <c r="BO29" s="259">
        <f t="shared" si="32"/>
        <v>65678.455005464421</v>
      </c>
      <c r="BP29" s="259">
        <f t="shared" si="46"/>
        <v>4923984.6336594969</v>
      </c>
      <c r="BQ29" s="185">
        <f t="shared" si="47"/>
        <v>0.17858292388885538</v>
      </c>
      <c r="BR29" s="142">
        <f t="shared" si="33"/>
        <v>0</v>
      </c>
      <c r="BS29" s="11"/>
      <c r="BT29" s="256">
        <f t="shared" si="34"/>
        <v>27572539</v>
      </c>
      <c r="BU29" s="186">
        <f t="shared" si="48"/>
        <v>0.17858292388885538</v>
      </c>
      <c r="BV29" s="187">
        <f t="shared" si="35"/>
        <v>4923984.6336594969</v>
      </c>
      <c r="BW29" s="143">
        <f t="shared" si="36"/>
        <v>0</v>
      </c>
      <c r="BY29" s="52">
        <f t="shared" si="49"/>
        <v>4923984.6336594969</v>
      </c>
      <c r="BZ29" s="188">
        <f t="shared" si="37"/>
        <v>4.0125328265646361E-2</v>
      </c>
      <c r="CA29" s="189">
        <f t="shared" si="38"/>
        <v>0</v>
      </c>
      <c r="CB29" s="147">
        <f t="shared" si="50"/>
        <v>4923984.6336594969</v>
      </c>
      <c r="CC29" s="190">
        <f t="shared" si="51"/>
        <v>0.17858292388885538</v>
      </c>
      <c r="CD29" s="148">
        <f t="shared" si="39"/>
        <v>0</v>
      </c>
      <c r="CE29" s="97"/>
      <c r="CF29" s="154">
        <f t="shared" si="40"/>
        <v>8271761.6999999993</v>
      </c>
      <c r="CG29" s="189">
        <f t="shared" si="41"/>
        <v>0</v>
      </c>
      <c r="CH29" s="266">
        <f t="shared" si="42"/>
        <v>4923984.6336594969</v>
      </c>
      <c r="CI29" s="155">
        <f t="shared" si="43"/>
        <v>0.17858292388885538</v>
      </c>
      <c r="CJ29" s="275">
        <v>4616922.7806974938</v>
      </c>
      <c r="CK29" s="276">
        <f t="shared" si="44"/>
        <v>6.650790310935506E-2</v>
      </c>
      <c r="CL29" s="277">
        <f t="shared" si="52"/>
        <v>0.7328870758075624</v>
      </c>
      <c r="CM29" s="278">
        <f>'Ridership'!P19</f>
        <v>0.18669680139457576</v>
      </c>
      <c r="CN29" s="277">
        <f t="shared" si="53"/>
        <v>0</v>
      </c>
      <c r="CO29" s="279"/>
    </row>
    <row r="30" spans="1:93">
      <c r="A30" s="71" t="s">
        <v>224</v>
      </c>
      <c r="B30" s="240" t="s">
        <v>46</v>
      </c>
      <c r="C30" s="27"/>
      <c r="D30" s="70">
        <f>'Op Cost - Performance'!F20</f>
        <v>27825334</v>
      </c>
      <c r="E30" s="175">
        <f>'Ridership'!$F20</f>
        <v>2640152</v>
      </c>
      <c r="F30" s="175">
        <f>'Revenue Hours - Sizing'!F20</f>
        <v>225969</v>
      </c>
      <c r="G30" s="175">
        <f>'Revenue Miles - Sizing'!F20</f>
        <v>2247168</v>
      </c>
      <c r="H30" s="191">
        <f t="shared" si="45"/>
        <v>4.2857873185140116E-2</v>
      </c>
      <c r="I30" s="110">
        <f t="shared" si="0"/>
        <v>4.2857873185140116E-2</v>
      </c>
      <c r="J30" s="111"/>
      <c r="K30" s="112">
        <f>'Ridership'!C20/'Revenue Hours'!B20</f>
        <v>8.8817225863249529</v>
      </c>
      <c r="L30" s="177">
        <f>'Ridership'!D20/'Revenue Hours'!C20</f>
        <v>9.7390196531791915</v>
      </c>
      <c r="M30" s="177">
        <f>'Ridership'!E20/'Revenue Hours'!D20</f>
        <v>10.649281237683155</v>
      </c>
      <c r="N30" s="177">
        <f>'Ridership'!F20/'Revenue Hours'!E20</f>
        <v>11.683691125773889</v>
      </c>
      <c r="O30" s="178">
        <f t="shared" si="1"/>
        <v>0.99286521055840227</v>
      </c>
      <c r="P30" s="179">
        <f t="shared" si="2"/>
        <v>4.2552091284049444E-2</v>
      </c>
      <c r="Q30" s="113">
        <f t="shared" si="3"/>
        <v>4.2127543372037737E-2</v>
      </c>
      <c r="R30" s="114">
        <f>'Ridership'!C20/'Revenue Miles'!C20</f>
        <v>0.87157122671755427</v>
      </c>
      <c r="S30" s="177">
        <f>'Ridership'!D20/'Revenue Miles'!D20</f>
        <v>0.95474957839955032</v>
      </c>
      <c r="T30" s="177">
        <f>'Ridership'!E20/'Revenue Miles'!E20</f>
        <v>1.0554620939697459</v>
      </c>
      <c r="U30" s="177">
        <f>'Ridership'!F20/'Revenue Miles'!F20</f>
        <v>1.1748796707678286</v>
      </c>
      <c r="V30" s="178">
        <f t="shared" si="4"/>
        <v>0.99848255638545214</v>
      </c>
      <c r="W30" s="179">
        <f t="shared" si="5"/>
        <v>4.2792838779142223E-2</v>
      </c>
      <c r="X30" s="113">
        <f t="shared" si="6"/>
        <v>4.2292266122066102E-2</v>
      </c>
      <c r="Y30" s="262">
        <f>'Op Cost - Performance'!C20/'Revenue Hours'!B20</f>
        <v>128.33355179497212</v>
      </c>
      <c r="Z30" s="263">
        <f>'Op Cost - Performance'!D20/'Revenue Hours'!C20</f>
        <v>109.8271676300578</v>
      </c>
      <c r="AA30" s="263">
        <f>'Op Cost - Performance'!E20/'Revenue Hours'!D20</f>
        <v>122.49075072655847</v>
      </c>
      <c r="AB30" s="263">
        <f>'Op Cost - Performance'!F20/'Revenue Hours'!E20</f>
        <v>123.13783749098327</v>
      </c>
      <c r="AC30" s="178">
        <f t="shared" si="7"/>
        <v>0.93214367366565387</v>
      </c>
      <c r="AD30" s="179">
        <f t="shared" si="8"/>
        <v>4.5977754713070772E-2</v>
      </c>
      <c r="AE30" s="113">
        <f t="shared" si="9"/>
        <v>4.5842185440849038E-2</v>
      </c>
      <c r="AF30" s="262">
        <f>'Op Cost - Performance'!C20/'Revenue Miles'!C20</f>
        <v>12.593483986899244</v>
      </c>
      <c r="AG30" s="263">
        <f>'Op Cost - Performance'!D20/'Revenue Miles'!D20</f>
        <v>10.766734817850473</v>
      </c>
      <c r="AH30" s="263">
        <f>'Op Cost - Performance'!E20/'Revenue Miles'!E20</f>
        <v>12.140194381973757</v>
      </c>
      <c r="AI30" s="263">
        <f>'Op Cost - Performance'!F20/'Revenue Miles'!F20</f>
        <v>12.382400425780361</v>
      </c>
      <c r="AJ30" s="178">
        <f t="shared" si="10"/>
        <v>0.93773023250011855</v>
      </c>
      <c r="AK30" s="179">
        <f t="shared" si="11"/>
        <v>4.5703840720667709E-2</v>
      </c>
      <c r="AL30" s="113">
        <f t="shared" si="12"/>
        <v>4.5655988371037223E-2</v>
      </c>
      <c r="AM30" s="262">
        <f>'Op Cost - Performance'!C20/'Ridership'!C20</f>
        <v>14.449173631313958</v>
      </c>
      <c r="AN30" s="263">
        <f>'Op Cost - Performance'!D20/'Ridership'!D20</f>
        <v>11.277024951295379</v>
      </c>
      <c r="AO30" s="263">
        <f>'Op Cost - Performance'!E20/'Ridership'!E20</f>
        <v>11.502255221987866</v>
      </c>
      <c r="AP30" s="263">
        <f>'Op Cost - Performance'!F20/'Ridership'!F20</f>
        <v>10.539292434678003</v>
      </c>
      <c r="AQ30" s="178">
        <f t="shared" si="13"/>
        <v>0.93618078531055804</v>
      </c>
      <c r="AR30" s="179">
        <f t="shared" si="14"/>
        <v>4.5779483896289247E-2</v>
      </c>
      <c r="AS30" s="115">
        <f t="shared" si="15"/>
        <v>4.5620069182934729E-2</v>
      </c>
      <c r="AT30" s="111"/>
      <c r="AU30" s="116">
        <f t="shared" si="16"/>
        <v>8.4255086744075471E-3</v>
      </c>
      <c r="AV30" s="180">
        <f t="shared" si="17"/>
        <v>8.4584532244132201E-3</v>
      </c>
      <c r="AW30" s="180">
        <f t="shared" si="18"/>
        <v>9.168437088169808E-3</v>
      </c>
      <c r="AX30" s="180">
        <f t="shared" si="19"/>
        <v>9.1311976742074457E-3</v>
      </c>
      <c r="AY30" s="117">
        <f t="shared" si="20"/>
        <v>9.1240138365869458E-3</v>
      </c>
      <c r="AZ30" s="111"/>
      <c r="BA30" s="118">
        <f t="shared" si="21"/>
        <v>1169462.1880033982</v>
      </c>
      <c r="BB30" s="181">
        <f t="shared" si="22"/>
        <v>1174034.897737761</v>
      </c>
      <c r="BC30" s="181">
        <f t="shared" si="23"/>
        <v>1272580.7915041419</v>
      </c>
      <c r="BD30" s="181">
        <f t="shared" si="24"/>
        <v>1267411.9538451561</v>
      </c>
      <c r="BE30" s="181">
        <f t="shared" si="25"/>
        <v>1266414.8358328694</v>
      </c>
      <c r="BF30" s="119">
        <f t="shared" si="26"/>
        <v>6149904.6669233274</v>
      </c>
      <c r="BH30" s="257">
        <f>'Op Cost - Performance'!F20</f>
        <v>27825334</v>
      </c>
      <c r="BI30" s="182">
        <f t="shared" si="27"/>
        <v>0.22101817958136019</v>
      </c>
      <c r="BJ30" s="183">
        <f t="shared" si="28"/>
        <v>6149904.6669233274</v>
      </c>
      <c r="BK30" s="138">
        <f t="shared" si="29"/>
        <v>0</v>
      </c>
      <c r="BM30" s="52">
        <f t="shared" si="30"/>
        <v>6149904.6669233274</v>
      </c>
      <c r="BN30" s="184">
        <f t="shared" si="31"/>
        <v>5.0792793720360878E-2</v>
      </c>
      <c r="BO30" s="259">
        <f t="shared" si="32"/>
        <v>83139.312777179104</v>
      </c>
      <c r="BP30" s="259">
        <f t="shared" si="46"/>
        <v>6233043.9797005067</v>
      </c>
      <c r="BQ30" s="185">
        <f t="shared" si="47"/>
        <v>0.22400607948499401</v>
      </c>
      <c r="BR30" s="142">
        <f t="shared" si="33"/>
        <v>0</v>
      </c>
      <c r="BS30" s="11"/>
      <c r="BT30" s="256">
        <f t="shared" si="34"/>
        <v>27825334</v>
      </c>
      <c r="BU30" s="186">
        <f t="shared" si="48"/>
        <v>0.22400607948499401</v>
      </c>
      <c r="BV30" s="187">
        <f t="shared" si="35"/>
        <v>6233043.9797005067</v>
      </c>
      <c r="BW30" s="143">
        <f t="shared" si="36"/>
        <v>0</v>
      </c>
      <c r="BY30" s="52">
        <f t="shared" si="49"/>
        <v>6233043.9797005067</v>
      </c>
      <c r="BZ30" s="188">
        <f t="shared" si="37"/>
        <v>5.0792793720360892E-2</v>
      </c>
      <c r="CA30" s="189">
        <f t="shared" si="38"/>
        <v>0</v>
      </c>
      <c r="CB30" s="147">
        <f t="shared" si="50"/>
        <v>6233043.9797005067</v>
      </c>
      <c r="CC30" s="190">
        <f t="shared" si="51"/>
        <v>0.22400607948499401</v>
      </c>
      <c r="CD30" s="148">
        <f t="shared" si="39"/>
        <v>0</v>
      </c>
      <c r="CE30" s="97"/>
      <c r="CF30" s="154">
        <f t="shared" si="40"/>
        <v>8347600.1999999993</v>
      </c>
      <c r="CG30" s="189">
        <f t="shared" si="41"/>
        <v>0</v>
      </c>
      <c r="CH30" s="266">
        <f t="shared" si="42"/>
        <v>6233043.9797005067</v>
      </c>
      <c r="CI30" s="155">
        <f t="shared" si="43"/>
        <v>0.22400607948499401</v>
      </c>
      <c r="CJ30" s="275">
        <v>5903647.0219985424</v>
      </c>
      <c r="CK30" s="276">
        <f t="shared" si="44"/>
        <v>5.5795503436188609E-2</v>
      </c>
      <c r="CL30" s="277">
        <f t="shared" si="52"/>
        <v>0.61484126614731893</v>
      </c>
      <c r="CM30" s="278">
        <f>'Ridership'!P20</f>
        <v>7.3783379929053039E-2</v>
      </c>
      <c r="CN30" s="277">
        <f t="shared" si="53"/>
        <v>0</v>
      </c>
      <c r="CO30" s="279"/>
    </row>
    <row r="31" spans="1:93">
      <c r="A31" s="71" t="s">
        <v>224</v>
      </c>
      <c r="B31" s="240" t="s">
        <v>47</v>
      </c>
      <c r="C31" s="27"/>
      <c r="D31" s="70">
        <f>'Op Cost - Performance'!F21</f>
        <v>31465620</v>
      </c>
      <c r="E31" s="175">
        <f>'Ridership'!$F21</f>
        <v>5758247</v>
      </c>
      <c r="F31" s="175">
        <f>'Revenue Hours - Sizing'!F21</f>
        <v>318474</v>
      </c>
      <c r="G31" s="175">
        <f>'Revenue Miles - Sizing'!F21</f>
        <v>2959703</v>
      </c>
      <c r="H31" s="191">
        <f t="shared" si="45"/>
        <v>6.4541404667958005E-2</v>
      </c>
      <c r="I31" s="110">
        <f t="shared" si="0"/>
        <v>6.4541404667958005E-2</v>
      </c>
      <c r="J31" s="111"/>
      <c r="K31" s="112">
        <f>'Ridership'!C21/'Revenue Hours'!B21</f>
        <v>11.021126607734487</v>
      </c>
      <c r="L31" s="177">
        <f>'Ridership'!D21/'Revenue Hours'!C21</f>
        <v>14.745469355165852</v>
      </c>
      <c r="M31" s="177">
        <f>'Ridership'!E21/'Revenue Hours'!D21</f>
        <v>17.327831184669662</v>
      </c>
      <c r="N31" s="177">
        <f>'Ridership'!F21/'Revenue Hours'!E21</f>
        <v>18.080744424976608</v>
      </c>
      <c r="O31" s="178">
        <f t="shared" si="1"/>
        <v>1.0693925579424921</v>
      </c>
      <c r="P31" s="179">
        <f t="shared" si="2"/>
        <v>6.9020097831069105E-2</v>
      </c>
      <c r="Q31" s="113">
        <f t="shared" si="3"/>
        <v>6.8331475073954276E-2</v>
      </c>
      <c r="R31" s="114">
        <f>'Ridership'!C21/'Revenue Miles'!C21</f>
        <v>1.2173072182855937</v>
      </c>
      <c r="S31" s="177">
        <f>'Ridership'!D21/'Revenue Miles'!D21</f>
        <v>1.5082541507857004</v>
      </c>
      <c r="T31" s="177">
        <f>'Ridership'!E21/'Revenue Miles'!E21</f>
        <v>1.8678928464353985</v>
      </c>
      <c r="U31" s="177">
        <f>'Ridership'!F21/'Revenue Miles'!F21</f>
        <v>1.9455489283890985</v>
      </c>
      <c r="V31" s="178">
        <f t="shared" si="4"/>
        <v>1.0575335302349311</v>
      </c>
      <c r="W31" s="179">
        <f t="shared" si="5"/>
        <v>6.8254699524826892E-2</v>
      </c>
      <c r="X31" s="113">
        <f t="shared" si="6"/>
        <v>6.74562847135214E-2</v>
      </c>
      <c r="Y31" s="262">
        <f>'Op Cost - Performance'!C21/'Revenue Hours'!B21</f>
        <v>98.632543150219192</v>
      </c>
      <c r="Z31" s="263">
        <f>'Op Cost - Performance'!D21/'Revenue Hours'!C21</f>
        <v>103.11566062580688</v>
      </c>
      <c r="AA31" s="263">
        <f>'Op Cost - Performance'!E21/'Revenue Hours'!D21</f>
        <v>116.71198169789699</v>
      </c>
      <c r="AB31" s="263">
        <f>'Op Cost - Performance'!F21/'Revenue Hours'!E21</f>
        <v>98.801220821793933</v>
      </c>
      <c r="AC31" s="178">
        <f t="shared" si="7"/>
        <v>0.94609587581766397</v>
      </c>
      <c r="AD31" s="179">
        <f t="shared" si="8"/>
        <v>6.821867245978433E-2</v>
      </c>
      <c r="AE31" s="113">
        <f t="shared" si="9"/>
        <v>6.8017523973195076E-2</v>
      </c>
      <c r="AF31" s="262">
        <f>'Op Cost - Performance'!C21/'Revenue Miles'!C21</f>
        <v>10.894177247756708</v>
      </c>
      <c r="AG31" s="263">
        <f>'Op Cost - Performance'!D21/'Revenue Miles'!D21</f>
        <v>10.547281975490128</v>
      </c>
      <c r="AH31" s="263">
        <f>'Op Cost - Performance'!E21/'Revenue Miles'!E21</f>
        <v>12.581232664574635</v>
      </c>
      <c r="AI31" s="263">
        <f>'Op Cost - Performance'!F21/'Revenue Miles'!F21</f>
        <v>10.631343753072521</v>
      </c>
      <c r="AJ31" s="178">
        <f t="shared" si="10"/>
        <v>0.9388173425651386</v>
      </c>
      <c r="AK31" s="179">
        <f t="shared" si="11"/>
        <v>6.8747563281703963E-2</v>
      </c>
      <c r="AL31" s="113">
        <f t="shared" si="12"/>
        <v>6.8675583938556273E-2</v>
      </c>
      <c r="AM31" s="262">
        <f>'Op Cost - Performance'!C21/'Ridership'!C21</f>
        <v>8.9494065952386492</v>
      </c>
      <c r="AN31" s="263">
        <f>'Op Cost - Performance'!D21/'Ridership'!D21</f>
        <v>6.9930402445739626</v>
      </c>
      <c r="AO31" s="263">
        <f>'Op Cost - Performance'!E21/'Ridership'!E21</f>
        <v>6.7355216272625524</v>
      </c>
      <c r="AP31" s="263">
        <f>'Op Cost - Performance'!F21/'Ridership'!F21</f>
        <v>5.4644443004963144</v>
      </c>
      <c r="AQ31" s="178">
        <f t="shared" si="13"/>
        <v>0.8822897411592856</v>
      </c>
      <c r="AR31" s="179">
        <f t="shared" si="14"/>
        <v>7.3152164937511074E-2</v>
      </c>
      <c r="AS31" s="115">
        <f t="shared" si="15"/>
        <v>7.2897432240410467E-2</v>
      </c>
      <c r="AT31" s="111"/>
      <c r="AU31" s="116">
        <f t="shared" si="16"/>
        <v>1.3666295014790856E-2</v>
      </c>
      <c r="AV31" s="180">
        <f t="shared" si="17"/>
        <v>1.3491256942704281E-2</v>
      </c>
      <c r="AW31" s="180">
        <f t="shared" si="18"/>
        <v>1.3603504794639017E-2</v>
      </c>
      <c r="AX31" s="180">
        <f t="shared" si="19"/>
        <v>1.3735116787711256E-2</v>
      </c>
      <c r="AY31" s="117">
        <f t="shared" si="20"/>
        <v>1.4579486448082095E-2</v>
      </c>
      <c r="AZ31" s="111"/>
      <c r="BA31" s="118">
        <f t="shared" si="21"/>
        <v>1896884.3173164336</v>
      </c>
      <c r="BB31" s="181">
        <f t="shared" si="22"/>
        <v>1872589.0000036594</v>
      </c>
      <c r="BC31" s="181">
        <f t="shared" si="23"/>
        <v>1888169.0229547969</v>
      </c>
      <c r="BD31" s="181">
        <f t="shared" si="24"/>
        <v>1906436.7923362784</v>
      </c>
      <c r="BE31" s="181">
        <f t="shared" si="25"/>
        <v>2023635.459937247</v>
      </c>
      <c r="BF31" s="119">
        <f t="shared" si="26"/>
        <v>9587714.5925484151</v>
      </c>
      <c r="BH31" s="257">
        <f>'Op Cost - Performance'!F21</f>
        <v>31465620</v>
      </c>
      <c r="BI31" s="182">
        <f t="shared" si="27"/>
        <v>0.30470445497493504</v>
      </c>
      <c r="BJ31" s="183">
        <f t="shared" si="28"/>
        <v>9439686</v>
      </c>
      <c r="BK31" s="138">
        <f t="shared" si="29"/>
        <v>148028.59254841506</v>
      </c>
      <c r="BM31" s="52">
        <f t="shared" si="30"/>
        <v>0</v>
      </c>
      <c r="BN31" s="184">
        <f t="shared" si="31"/>
        <v>0</v>
      </c>
      <c r="BO31" s="259">
        <f t="shared" si="32"/>
        <v>0</v>
      </c>
      <c r="BP31" s="259">
        <f t="shared" si="46"/>
        <v>9439686</v>
      </c>
      <c r="BQ31" s="185">
        <f t="shared" si="47"/>
        <v>0.3</v>
      </c>
      <c r="BR31" s="142">
        <f t="shared" si="33"/>
        <v>0</v>
      </c>
      <c r="BS31" s="11"/>
      <c r="BT31" s="256">
        <f t="shared" si="34"/>
        <v>31465620</v>
      </c>
      <c r="BU31" s="186">
        <f t="shared" si="48"/>
        <v>0.3</v>
      </c>
      <c r="BV31" s="187">
        <f t="shared" si="35"/>
        <v>9439686</v>
      </c>
      <c r="BW31" s="143">
        <f t="shared" si="36"/>
        <v>0</v>
      </c>
      <c r="BY31" s="52">
        <f t="shared" si="49"/>
        <v>0</v>
      </c>
      <c r="BZ31" s="188">
        <f t="shared" si="37"/>
        <v>0</v>
      </c>
      <c r="CA31" s="189">
        <f t="shared" si="38"/>
        <v>0</v>
      </c>
      <c r="CB31" s="147">
        <f t="shared" si="50"/>
        <v>9439686</v>
      </c>
      <c r="CC31" s="190">
        <f t="shared" si="51"/>
        <v>0.3</v>
      </c>
      <c r="CD31" s="148">
        <f t="shared" si="39"/>
        <v>0</v>
      </c>
      <c r="CE31" s="97"/>
      <c r="CF31" s="154">
        <f t="shared" si="40"/>
        <v>9439686</v>
      </c>
      <c r="CG31" s="189">
        <f t="shared" si="41"/>
        <v>0</v>
      </c>
      <c r="CH31" s="266">
        <f t="shared" si="42"/>
        <v>9439686</v>
      </c>
      <c r="CI31" s="155">
        <f t="shared" si="43"/>
        <v>0.3</v>
      </c>
      <c r="CJ31" s="275">
        <v>10450791.057495382</v>
      </c>
      <c r="CK31" s="276">
        <f t="shared" si="44"/>
        <v>-9.6749140991600813E-2</v>
      </c>
      <c r="CL31" s="277">
        <f t="shared" si="52"/>
        <v>-1.0661318687440946</v>
      </c>
      <c r="CM31" s="278">
        <f>'Ridership'!P21</f>
        <v>7.5943839560821486E-2</v>
      </c>
      <c r="CN31" s="277">
        <f t="shared" si="53"/>
        <v>-1.273956407143688</v>
      </c>
      <c r="CO31" s="280">
        <f>CJ31-CH31</f>
        <v>1011105.0574953817</v>
      </c>
    </row>
    <row r="32" spans="1:93">
      <c r="A32" s="71" t="s">
        <v>224</v>
      </c>
      <c r="B32" s="240" t="s">
        <v>48</v>
      </c>
      <c r="C32" s="27"/>
      <c r="D32" s="70">
        <f>'Op Cost - Performance'!F22</f>
        <v>5702607</v>
      </c>
      <c r="E32" s="175">
        <f>'Ridership'!$F22</f>
        <v>949010</v>
      </c>
      <c r="F32" s="175">
        <f>'Revenue Hours - Sizing'!F22</f>
        <v>34553</v>
      </c>
      <c r="G32" s="175">
        <f>'Revenue Miles - Sizing'!F22</f>
        <v>434479</v>
      </c>
      <c r="H32" s="191">
        <f t="shared" si="45"/>
        <v>1.0589545975834164E-2</v>
      </c>
      <c r="I32" s="110">
        <f t="shared" si="0"/>
        <v>1.0589545975834164E-2</v>
      </c>
      <c r="J32" s="111"/>
      <c r="K32" s="112">
        <f>'Ridership'!C22/'Revenue Hours'!B22</f>
        <v>13.465131541402728</v>
      </c>
      <c r="L32" s="177">
        <f>'Ridership'!D22/'Revenue Hours'!C22</f>
        <v>24.467665569605636</v>
      </c>
      <c r="M32" s="177">
        <f>'Ridership'!E22/'Revenue Hours'!D22</f>
        <v>29.025488038000347</v>
      </c>
      <c r="N32" s="177">
        <f>'Ridership'!F22/'Revenue Hours'!E22</f>
        <v>27.465343096113216</v>
      </c>
      <c r="O32" s="178">
        <f t="shared" si="1"/>
        <v>1.1773213688889219</v>
      </c>
      <c r="P32" s="179">
        <f t="shared" si="2"/>
        <v>1.2467298764181253E-2</v>
      </c>
      <c r="Q32" s="113">
        <f t="shared" si="3"/>
        <v>1.2342910855172811E-2</v>
      </c>
      <c r="R32" s="114">
        <f>'Ridership'!C22/'Revenue Miles'!C22</f>
        <v>1.0865963144527517</v>
      </c>
      <c r="S32" s="177">
        <f>'Ridership'!D22/'Revenue Miles'!D22</f>
        <v>1.9292701193514095</v>
      </c>
      <c r="T32" s="177">
        <f>'Ridership'!E22/'Revenue Miles'!E22</f>
        <v>2.3068639592646645</v>
      </c>
      <c r="U32" s="177">
        <f>'Ridership'!F22/'Revenue Miles'!F22</f>
        <v>2.1842482605603495</v>
      </c>
      <c r="V32" s="178">
        <f t="shared" si="4"/>
        <v>1.1651131693298664</v>
      </c>
      <c r="W32" s="179">
        <f t="shared" si="5"/>
        <v>1.2338019473668476E-2</v>
      </c>
      <c r="X32" s="113">
        <f t="shared" si="6"/>
        <v>1.2193694503248391E-2</v>
      </c>
      <c r="Y32" s="262">
        <f>'Op Cost - Performance'!C22/'Revenue Hours'!B22</f>
        <v>152.54685270786965</v>
      </c>
      <c r="Z32" s="263">
        <f>'Op Cost - Performance'!D22/'Revenue Hours'!C22</f>
        <v>153.82888734915412</v>
      </c>
      <c r="AA32" s="263">
        <f>'Op Cost - Performance'!E22/'Revenue Hours'!D22</f>
        <v>157.95638069860394</v>
      </c>
      <c r="AB32" s="263">
        <f>'Op Cost - Performance'!F22/'Revenue Hours'!E22</f>
        <v>165.03941770613261</v>
      </c>
      <c r="AC32" s="178">
        <f t="shared" si="7"/>
        <v>0.96266230443047585</v>
      </c>
      <c r="AD32" s="179">
        <f t="shared" si="8"/>
        <v>1.1000270735747863E-2</v>
      </c>
      <c r="AE32" s="113">
        <f t="shared" si="9"/>
        <v>1.0967835513384483E-2</v>
      </c>
      <c r="AF32" s="262">
        <f>'Op Cost - Performance'!C22/'Revenue Miles'!C22</f>
        <v>12.310080107577638</v>
      </c>
      <c r="AG32" s="263">
        <f>'Op Cost - Performance'!D22/'Revenue Miles'!D22</f>
        <v>12.129374378259513</v>
      </c>
      <c r="AH32" s="263">
        <f>'Op Cost - Performance'!E22/'Revenue Miles'!E22</f>
        <v>12.553927820005802</v>
      </c>
      <c r="AI32" s="263">
        <f>'Op Cost - Performance'!F22/'Revenue Miles'!F22</f>
        <v>13.125161400205764</v>
      </c>
      <c r="AJ32" s="178">
        <f t="shared" si="10"/>
        <v>0.95570413820203548</v>
      </c>
      <c r="AK32" s="179">
        <f t="shared" si="11"/>
        <v>1.1080360074359684E-2</v>
      </c>
      <c r="AL32" s="113">
        <f t="shared" si="12"/>
        <v>1.1068758833502258E-2</v>
      </c>
      <c r="AM32" s="262">
        <f>'Op Cost - Performance'!C22/'Ridership'!C22</f>
        <v>11.329028033541075</v>
      </c>
      <c r="AN32" s="263">
        <f>'Op Cost - Performance'!D22/'Ridership'!D22</f>
        <v>6.2870275430053413</v>
      </c>
      <c r="AO32" s="263">
        <f>'Op Cost - Performance'!E22/'Ridership'!E22</f>
        <v>5.4419887959095288</v>
      </c>
      <c r="AP32" s="263">
        <f>'Op Cost - Performance'!F22/'Ridership'!F22</f>
        <v>6.0090062275423861</v>
      </c>
      <c r="AQ32" s="264">
        <f t="shared" si="13"/>
        <v>0.86346718389668131</v>
      </c>
      <c r="AR32" s="179">
        <f t="shared" si="14"/>
        <v>1.2263981970971189E-2</v>
      </c>
      <c r="AS32" s="115">
        <f t="shared" si="15"/>
        <v>1.2221275959367468E-2</v>
      </c>
      <c r="AT32" s="111"/>
      <c r="AU32" s="116">
        <f t="shared" si="16"/>
        <v>2.4685821710345624E-3</v>
      </c>
      <c r="AV32" s="180">
        <f t="shared" si="17"/>
        <v>2.4387389006496783E-3</v>
      </c>
      <c r="AW32" s="180">
        <f t="shared" si="18"/>
        <v>2.1935671026768965E-3</v>
      </c>
      <c r="AX32" s="180">
        <f t="shared" si="19"/>
        <v>2.2137517667004517E-3</v>
      </c>
      <c r="AY32" s="117">
        <f t="shared" si="20"/>
        <v>2.4442551918734939E-3</v>
      </c>
      <c r="AZ32" s="111"/>
      <c r="BA32" s="118">
        <f t="shared" si="21"/>
        <v>342639.66943304543</v>
      </c>
      <c r="BB32" s="181">
        <f t="shared" si="22"/>
        <v>338497.41789308866</v>
      </c>
      <c r="BC32" s="181">
        <f t="shared" si="23"/>
        <v>304467.52624216856</v>
      </c>
      <c r="BD32" s="181">
        <f t="shared" si="24"/>
        <v>307269.16140335484</v>
      </c>
      <c r="BE32" s="181">
        <f t="shared" si="25"/>
        <v>339263.08015201701</v>
      </c>
      <c r="BF32" s="119">
        <f t="shared" si="26"/>
        <v>1632136.8551236745</v>
      </c>
      <c r="BH32" s="257">
        <f>'Op Cost - Performance'!F22</f>
        <v>5702607</v>
      </c>
      <c r="BI32" s="182">
        <f t="shared" si="27"/>
        <v>0.28620889623354273</v>
      </c>
      <c r="BJ32" s="183">
        <f t="shared" si="28"/>
        <v>1632136.8551236745</v>
      </c>
      <c r="BK32" s="138">
        <f t="shared" si="29"/>
        <v>0</v>
      </c>
      <c r="BM32" s="52">
        <f t="shared" si="30"/>
        <v>1632136.8551236745</v>
      </c>
      <c r="BN32" s="184">
        <f t="shared" si="31"/>
        <v>1.3480012308413378E-2</v>
      </c>
      <c r="BO32" s="259">
        <f t="shared" si="32"/>
        <v>22064.526824799377</v>
      </c>
      <c r="BP32" s="259">
        <f t="shared" si="46"/>
        <v>1654201.3819484739</v>
      </c>
      <c r="BQ32" s="185">
        <f t="shared" si="47"/>
        <v>0.29007809620204827</v>
      </c>
      <c r="BR32" s="142">
        <f t="shared" si="33"/>
        <v>0</v>
      </c>
      <c r="BS32" s="11"/>
      <c r="BT32" s="256">
        <f t="shared" si="34"/>
        <v>5702607</v>
      </c>
      <c r="BU32" s="186">
        <f t="shared" si="48"/>
        <v>0.29007809620204827</v>
      </c>
      <c r="BV32" s="187">
        <f t="shared" si="35"/>
        <v>1654201.3819484739</v>
      </c>
      <c r="BW32" s="143">
        <f t="shared" si="36"/>
        <v>0</v>
      </c>
      <c r="BY32" s="52">
        <f t="shared" si="49"/>
        <v>1654201.3819484739</v>
      </c>
      <c r="BZ32" s="188">
        <f t="shared" si="37"/>
        <v>1.3480012308413381E-2</v>
      </c>
      <c r="CA32" s="189">
        <f t="shared" si="38"/>
        <v>0</v>
      </c>
      <c r="CB32" s="147">
        <f t="shared" si="50"/>
        <v>1654201.3819484739</v>
      </c>
      <c r="CC32" s="190">
        <f t="shared" si="51"/>
        <v>0.29007809620204827</v>
      </c>
      <c r="CD32" s="148">
        <f t="shared" si="39"/>
        <v>0</v>
      </c>
      <c r="CE32" s="97"/>
      <c r="CF32" s="154">
        <f t="shared" si="40"/>
        <v>1710782.0999999999</v>
      </c>
      <c r="CG32" s="189">
        <f t="shared" si="41"/>
        <v>0</v>
      </c>
      <c r="CH32" s="266">
        <f t="shared" si="42"/>
        <v>1654201.3819484739</v>
      </c>
      <c r="CI32" s="155">
        <f t="shared" si="43"/>
        <v>0.29007809620204827</v>
      </c>
      <c r="CJ32" s="275">
        <v>1636080.5999999999</v>
      </c>
      <c r="CK32" s="276">
        <f t="shared" si="44"/>
        <v>1.1075726922300775E-2</v>
      </c>
      <c r="CL32" s="277">
        <f t="shared" si="52"/>
        <v>0.12204951196824498</v>
      </c>
      <c r="CM32" s="278">
        <f>'Ridership'!P22</f>
        <v>-5.3010874793191332E-2</v>
      </c>
      <c r="CN32" s="277">
        <f t="shared" si="53"/>
        <v>0</v>
      </c>
      <c r="CO32" s="279"/>
    </row>
    <row r="33" spans="1:93">
      <c r="A33" s="71" t="s">
        <v>224</v>
      </c>
      <c r="B33" s="240" t="s">
        <v>49</v>
      </c>
      <c r="C33" s="27"/>
      <c r="D33" s="70">
        <f>'Op Cost - Performance'!F23</f>
        <v>135419722</v>
      </c>
      <c r="E33" s="175">
        <f>'Ridership'!$F23</f>
        <v>9687227</v>
      </c>
      <c r="F33" s="175">
        <f>'Revenue Hours - Sizing'!F23</f>
        <v>879010</v>
      </c>
      <c r="G33" s="175">
        <f>'Revenue Miles - Sizing'!F23</f>
        <v>11834233</v>
      </c>
      <c r="H33" s="191">
        <f t="shared" si="45"/>
        <v>0.18919671271927641</v>
      </c>
      <c r="I33" s="110">
        <f t="shared" si="0"/>
        <v>0.18919671271927641</v>
      </c>
      <c r="J33" s="111"/>
      <c r="K33" s="112">
        <f>'Ridership'!C23/'Revenue Hours'!B23</f>
        <v>6.1772085175648597</v>
      </c>
      <c r="L33" s="177">
        <f>'Ridership'!D23/'Revenue Hours'!C23</f>
        <v>9.8555669967058908</v>
      </c>
      <c r="M33" s="177">
        <f>'Ridership'!E23/'Revenue Hours'!D23</f>
        <v>10.646159498854312</v>
      </c>
      <c r="N33" s="177">
        <f>'Ridership'!F23/'Revenue Hours'!E23</f>
        <v>11.0206106870229</v>
      </c>
      <c r="O33" s="178">
        <f t="shared" si="1"/>
        <v>1.1098336462234268</v>
      </c>
      <c r="P33" s="179">
        <f t="shared" si="2"/>
        <v>0.20997687753072072</v>
      </c>
      <c r="Q33" s="113">
        <f t="shared" si="3"/>
        <v>0.20788191010993451</v>
      </c>
      <c r="R33" s="114">
        <f>'Ridership'!C23/'Revenue Miles'!C23</f>
        <v>0.47819886223375052</v>
      </c>
      <c r="S33" s="177">
        <f>'Ridership'!D23/'Revenue Miles'!D23</f>
        <v>0.7557807792342961</v>
      </c>
      <c r="T33" s="177">
        <f>'Ridership'!E23/'Revenue Miles'!E23</f>
        <v>0.80600047782462481</v>
      </c>
      <c r="U33" s="177">
        <f>'Ridership'!F23/'Revenue Miles'!F23</f>
        <v>0.8185766665232973</v>
      </c>
      <c r="V33" s="178">
        <f t="shared" si="4"/>
        <v>1.0918872964235131</v>
      </c>
      <c r="W33" s="179">
        <f t="shared" si="5"/>
        <v>0.20658148714326682</v>
      </c>
      <c r="X33" s="113">
        <f t="shared" si="6"/>
        <v>0.20416498366108968</v>
      </c>
      <c r="Y33" s="262">
        <f>'Op Cost - Performance'!C23/'Revenue Hours'!B23</f>
        <v>123.53958340274241</v>
      </c>
      <c r="Z33" s="263">
        <f>'Op Cost - Performance'!D23/'Revenue Hours'!C23</f>
        <v>127.77476943594867</v>
      </c>
      <c r="AA33" s="263">
        <f>'Op Cost - Performance'!E23/'Revenue Hours'!D23</f>
        <v>135.70313913636252</v>
      </c>
      <c r="AB33" s="263">
        <f>'Op Cost - Performance'!F23/'Revenue Hours'!E23</f>
        <v>154.05936451234913</v>
      </c>
      <c r="AC33" s="178">
        <f t="shared" si="7"/>
        <v>1.0099812128787622</v>
      </c>
      <c r="AD33" s="179">
        <f t="shared" si="8"/>
        <v>0.1873269624293373</v>
      </c>
      <c r="AE33" s="113">
        <f t="shared" si="9"/>
        <v>0.18677461314385047</v>
      </c>
      <c r="AF33" s="262">
        <f>'Op Cost - Performance'!C23/'Revenue Miles'!C23</f>
        <v>9.5636221532815782</v>
      </c>
      <c r="AG33" s="263">
        <f>'Op Cost - Performance'!D23/'Revenue Miles'!D23</f>
        <v>9.7984940737616739</v>
      </c>
      <c r="AH33" s="263">
        <f>'Op Cost - Performance'!E23/'Revenue Miles'!E23</f>
        <v>10.273826443984833</v>
      </c>
      <c r="AI33" s="263">
        <f>'Op Cost - Performance'!F23/'Revenue Miles'!F23</f>
        <v>11.443050174861353</v>
      </c>
      <c r="AJ33" s="178">
        <f t="shared" si="10"/>
        <v>0.99316515604046474</v>
      </c>
      <c r="AK33" s="179">
        <f t="shared" si="11"/>
        <v>0.19049874189461385</v>
      </c>
      <c r="AL33" s="113">
        <f t="shared" si="12"/>
        <v>0.19029928792624776</v>
      </c>
      <c r="AM33" s="262">
        <f>'Op Cost - Performance'!C23/'Ridership'!C23</f>
        <v>19.999257439903197</v>
      </c>
      <c r="AN33" s="263">
        <f>'Op Cost - Performance'!D23/'Ridership'!D23</f>
        <v>12.964730439015423</v>
      </c>
      <c r="AO33" s="263">
        <f>'Op Cost - Performance'!E23/'Ridership'!E23</f>
        <v>12.746675376314458</v>
      </c>
      <c r="AP33" s="263">
        <f>'Op Cost - Performance'!F23/'Ridership'!F23</f>
        <v>13.979203955889544</v>
      </c>
      <c r="AQ33" s="178">
        <f t="shared" si="13"/>
        <v>0.93525160601354773</v>
      </c>
      <c r="AR33" s="179">
        <f t="shared" si="14"/>
        <v>0.2022949883248164</v>
      </c>
      <c r="AS33" s="115">
        <f t="shared" si="15"/>
        <v>0.20159055055417852</v>
      </c>
      <c r="AT33" s="111"/>
      <c r="AU33" s="116">
        <f t="shared" si="16"/>
        <v>4.1576382021986907E-2</v>
      </c>
      <c r="AV33" s="180">
        <f t="shared" si="17"/>
        <v>4.0832996732217935E-2</v>
      </c>
      <c r="AW33" s="180">
        <f t="shared" si="18"/>
        <v>3.7354922628770097E-2</v>
      </c>
      <c r="AX33" s="180">
        <f t="shared" si="19"/>
        <v>3.8059857585249553E-2</v>
      </c>
      <c r="AY33" s="117">
        <f t="shared" si="20"/>
        <v>4.0318110110835706E-2</v>
      </c>
      <c r="AZ33" s="111"/>
      <c r="BA33" s="118">
        <f t="shared" si="21"/>
        <v>5770809.6410116032</v>
      </c>
      <c r="BB33" s="181">
        <f t="shared" si="22"/>
        <v>5667627.6230352353</v>
      </c>
      <c r="BC33" s="181">
        <f t="shared" si="23"/>
        <v>5184870.2835987434</v>
      </c>
      <c r="BD33" s="181">
        <f t="shared" si="24"/>
        <v>5282715.3880858636</v>
      </c>
      <c r="BE33" s="181">
        <f t="shared" si="25"/>
        <v>5596161.2631886965</v>
      </c>
      <c r="BF33" s="119">
        <f t="shared" si="26"/>
        <v>27502184.198920142</v>
      </c>
      <c r="BH33" s="257">
        <f>'Op Cost - Performance'!F23</f>
        <v>135419722</v>
      </c>
      <c r="BI33" s="182">
        <f t="shared" si="27"/>
        <v>0.20308847037007019</v>
      </c>
      <c r="BJ33" s="183">
        <f t="shared" si="28"/>
        <v>27502184.198920142</v>
      </c>
      <c r="BK33" s="138">
        <f t="shared" si="29"/>
        <v>0</v>
      </c>
      <c r="BM33" s="52">
        <f t="shared" si="30"/>
        <v>27502184.198920142</v>
      </c>
      <c r="BN33" s="184">
        <f t="shared" si="31"/>
        <v>0.22714380864930811</v>
      </c>
      <c r="BO33" s="259">
        <f t="shared" si="32"/>
        <v>371796.44531197433</v>
      </c>
      <c r="BP33" s="259">
        <f t="shared" si="46"/>
        <v>27873980.644232117</v>
      </c>
      <c r="BQ33" s="185">
        <f t="shared" si="47"/>
        <v>0.20583398217456181</v>
      </c>
      <c r="BR33" s="142">
        <f t="shared" si="33"/>
        <v>0</v>
      </c>
      <c r="BS33" s="11"/>
      <c r="BT33" s="256">
        <f t="shared" si="34"/>
        <v>135419722</v>
      </c>
      <c r="BU33" s="186">
        <f t="shared" si="48"/>
        <v>0.20583398217456181</v>
      </c>
      <c r="BV33" s="187">
        <f t="shared" si="35"/>
        <v>27873980.644232117</v>
      </c>
      <c r="BW33" s="143">
        <f t="shared" si="36"/>
        <v>0</v>
      </c>
      <c r="BY33" s="52">
        <f t="shared" si="49"/>
        <v>27873980.644232117</v>
      </c>
      <c r="BZ33" s="188">
        <f t="shared" si="37"/>
        <v>0.22714380864930817</v>
      </c>
      <c r="CA33" s="189">
        <f t="shared" si="38"/>
        <v>0</v>
      </c>
      <c r="CB33" s="147">
        <f t="shared" si="50"/>
        <v>27873980.644232117</v>
      </c>
      <c r="CC33" s="190">
        <f t="shared" si="51"/>
        <v>0.20583398217456181</v>
      </c>
      <c r="CD33" s="148">
        <f t="shared" si="39"/>
        <v>0</v>
      </c>
      <c r="CE33" s="97"/>
      <c r="CF33" s="154">
        <f t="shared" si="40"/>
        <v>40625916.600000001</v>
      </c>
      <c r="CG33" s="189">
        <f t="shared" si="41"/>
        <v>0</v>
      </c>
      <c r="CH33" s="266">
        <f t="shared" si="42"/>
        <v>27873980.644232117</v>
      </c>
      <c r="CI33" s="155">
        <f t="shared" si="43"/>
        <v>0.20583398217456181</v>
      </c>
      <c r="CJ33" s="275">
        <v>23974960.475960296</v>
      </c>
      <c r="CK33" s="276">
        <f t="shared" si="44"/>
        <v>0.16262884654935597</v>
      </c>
      <c r="CL33" s="277">
        <f t="shared" si="52"/>
        <v>1.7920964910521908</v>
      </c>
      <c r="CM33" s="278">
        <f>'Ridership'!P23</f>
        <v>0.11074690962868992</v>
      </c>
      <c r="CN33" s="277">
        <f t="shared" si="53"/>
        <v>0</v>
      </c>
      <c r="CO33" s="279"/>
    </row>
    <row r="34" spans="1:93">
      <c r="A34" s="71" t="s">
        <v>224</v>
      </c>
      <c r="B34" s="240" t="s">
        <v>50</v>
      </c>
      <c r="C34" s="27"/>
      <c r="D34" s="70">
        <f>'Op Cost - Performance'!F24</f>
        <v>56380235</v>
      </c>
      <c r="E34" s="175">
        <f>'Ridership'!$F24</f>
        <v>2342487</v>
      </c>
      <c r="F34" s="175">
        <f>'Revenue Hours - Sizing'!F24</f>
        <v>263712.52001949801</v>
      </c>
      <c r="G34" s="175">
        <f>'Revenue Miles - Sizing'!F24</f>
        <v>6106617.3596947305</v>
      </c>
      <c r="H34" s="191">
        <f t="shared" si="45"/>
        <v>6.9749472591673009E-2</v>
      </c>
      <c r="I34" s="110">
        <f t="shared" si="0"/>
        <v>6.9749472591673009E-2</v>
      </c>
      <c r="J34" s="111"/>
      <c r="K34" s="112">
        <f>'Ridership'!C24/'Revenue Hours'!B24</f>
        <v>8.2967296709273857</v>
      </c>
      <c r="L34" s="177">
        <f>'Ridership'!D24/'Revenue Hours'!C24</f>
        <v>11.126124922661567</v>
      </c>
      <c r="M34" s="177">
        <f>'Ridership'!E24/'Revenue Hours'!D24</f>
        <v>11.306413873510943</v>
      </c>
      <c r="N34" s="177">
        <f>'Ridership'!F24/'Revenue Hours'!E24</f>
        <v>11.907508567190273</v>
      </c>
      <c r="O34" s="178">
        <f t="shared" si="1"/>
        <v>1.0239205856290963</v>
      </c>
      <c r="P34" s="179">
        <f t="shared" si="2"/>
        <v>7.1417920823386424E-2</v>
      </c>
      <c r="Q34" s="113">
        <f t="shared" si="3"/>
        <v>7.0705374665234341E-2</v>
      </c>
      <c r="R34" s="114">
        <f>'Ridership'!C24/'Revenue Miles'!C24</f>
        <v>0.37059725511859853</v>
      </c>
      <c r="S34" s="177">
        <f>'Ridership'!D24/'Revenue Miles'!D24</f>
        <v>0.50600882906492872</v>
      </c>
      <c r="T34" s="177">
        <f>'Ridership'!E24/'Revenue Miles'!E24</f>
        <v>0.52629907098117701</v>
      </c>
      <c r="U34" s="177">
        <f>'Ridership'!F24/'Revenue Miles'!F24</f>
        <v>0.58152419102858721</v>
      </c>
      <c r="V34" s="178">
        <f t="shared" si="4"/>
        <v>1.051372845810423</v>
      </c>
      <c r="W34" s="179">
        <f t="shared" si="5"/>
        <v>7.3332701492483346E-2</v>
      </c>
      <c r="X34" s="113">
        <f t="shared" si="6"/>
        <v>7.2474886346680145E-2</v>
      </c>
      <c r="Y34" s="262">
        <f>'Op Cost - Performance'!C24/'Revenue Hours'!B24</f>
        <v>270.17498640195811</v>
      </c>
      <c r="Z34" s="263">
        <f>'Op Cost - Performance'!D24/'Revenue Hours'!C24</f>
        <v>320.99602761685134</v>
      </c>
      <c r="AA34" s="263">
        <f>'Op Cost - Performance'!E24/'Revenue Hours'!D24</f>
        <v>283.52802021366966</v>
      </c>
      <c r="AB34" s="263">
        <f>'Op Cost - Performance'!F24/'Revenue Hours'!E24</f>
        <v>286.59631036701632</v>
      </c>
      <c r="AC34" s="178">
        <f t="shared" si="7"/>
        <v>0.9609052946056732</v>
      </c>
      <c r="AD34" s="179">
        <f t="shared" si="8"/>
        <v>7.2587249735465459E-2</v>
      </c>
      <c r="AE34" s="113">
        <f t="shared" si="9"/>
        <v>7.2373220131788082E-2</v>
      </c>
      <c r="AF34" s="262">
        <f>'Op Cost - Performance'!C24/'Revenue Miles'!C24</f>
        <v>12.068141585126339</v>
      </c>
      <c r="AG34" s="263">
        <f>'Op Cost - Performance'!D24/'Revenue Miles'!D24</f>
        <v>14.598687790936747</v>
      </c>
      <c r="AH34" s="263">
        <f>'Op Cost - Performance'!E24/'Revenue Miles'!E24</f>
        <v>13.197865857819492</v>
      </c>
      <c r="AI34" s="263">
        <f>'Op Cost - Performance'!F24/'Revenue Miles'!F24</f>
        <v>13.996436500342003</v>
      </c>
      <c r="AJ34" s="178">
        <f t="shared" si="10"/>
        <v>0.98672219237037284</v>
      </c>
      <c r="AK34" s="179">
        <f t="shared" si="11"/>
        <v>7.0688054987509658E-2</v>
      </c>
      <c r="AL34" s="113">
        <f t="shared" si="12"/>
        <v>7.0614043931357173E-2</v>
      </c>
      <c r="AM34" s="262">
        <f>'Op Cost - Performance'!C24/'Ridership'!C24</f>
        <v>32.564033916722593</v>
      </c>
      <c r="AN34" s="263">
        <f>'Op Cost - Performance'!D24/'Ridership'!D24</f>
        <v>28.850658234391222</v>
      </c>
      <c r="AO34" s="263">
        <f>'Op Cost - Performance'!E24/'Ridership'!E24</f>
        <v>25.07674169596152</v>
      </c>
      <c r="AP34" s="263">
        <f>'Op Cost - Performance'!F24/'Ridership'!F24</f>
        <v>24.068536986544643</v>
      </c>
      <c r="AQ34" s="178">
        <f t="shared" si="13"/>
        <v>0.93677005844083461</v>
      </c>
      <c r="AR34" s="179">
        <f t="shared" si="14"/>
        <v>7.4457410293156071E-2</v>
      </c>
      <c r="AS34" s="115">
        <f t="shared" si="15"/>
        <v>7.419813243091776E-2</v>
      </c>
      <c r="AT34" s="111"/>
      <c r="AU34" s="116">
        <f t="shared" si="16"/>
        <v>1.4141074933046869E-2</v>
      </c>
      <c r="AV34" s="180">
        <f t="shared" si="17"/>
        <v>1.449497726933603E-2</v>
      </c>
      <c r="AW34" s="180">
        <f t="shared" si="18"/>
        <v>1.4474644026357618E-2</v>
      </c>
      <c r="AX34" s="180">
        <f t="shared" si="19"/>
        <v>1.4122808786271436E-2</v>
      </c>
      <c r="AY34" s="117">
        <f t="shared" si="20"/>
        <v>1.4839626486183553E-2</v>
      </c>
      <c r="AZ34" s="111"/>
      <c r="BA34" s="118">
        <f t="shared" si="21"/>
        <v>1962783.8592289928</v>
      </c>
      <c r="BB34" s="181">
        <f t="shared" si="22"/>
        <v>2011905.5700395675</v>
      </c>
      <c r="BC34" s="181">
        <f t="shared" si="23"/>
        <v>2009083.3120915142</v>
      </c>
      <c r="BD34" s="181">
        <f t="shared" si="24"/>
        <v>1960248.5146225272</v>
      </c>
      <c r="BE34" s="181">
        <f t="shared" si="25"/>
        <v>2059742.9461320566</v>
      </c>
      <c r="BF34" s="119">
        <f t="shared" si="26"/>
        <v>10003764.202114658</v>
      </c>
      <c r="BH34" s="257">
        <f>'Op Cost - Performance'!F24</f>
        <v>56380235</v>
      </c>
      <c r="BI34" s="182">
        <f t="shared" si="27"/>
        <v>0.17743388622120249</v>
      </c>
      <c r="BJ34" s="183">
        <f t="shared" si="28"/>
        <v>10003764.202114658</v>
      </c>
      <c r="BK34" s="138">
        <f t="shared" si="29"/>
        <v>0</v>
      </c>
      <c r="BM34" s="52">
        <f t="shared" si="30"/>
        <v>10003764.202114658</v>
      </c>
      <c r="BN34" s="184">
        <f t="shared" si="31"/>
        <v>8.2622277753021181E-2</v>
      </c>
      <c r="BO34" s="259">
        <f t="shared" si="32"/>
        <v>135238.85750977727</v>
      </c>
      <c r="BP34" s="259">
        <f t="shared" si="46"/>
        <v>10139003.059624435</v>
      </c>
      <c r="BQ34" s="185">
        <f t="shared" si="47"/>
        <v>0.17983257891040069</v>
      </c>
      <c r="BR34" s="142">
        <f t="shared" si="33"/>
        <v>0</v>
      </c>
      <c r="BS34" s="11"/>
      <c r="BT34" s="256">
        <f t="shared" si="34"/>
        <v>56380235</v>
      </c>
      <c r="BU34" s="186">
        <f t="shared" si="48"/>
        <v>0.17983257891040069</v>
      </c>
      <c r="BV34" s="187">
        <f t="shared" si="35"/>
        <v>10139003.059624435</v>
      </c>
      <c r="BW34" s="143">
        <f t="shared" si="36"/>
        <v>0</v>
      </c>
      <c r="BY34" s="52">
        <f t="shared" si="49"/>
        <v>10139003.059624435</v>
      </c>
      <c r="BZ34" s="188">
        <f t="shared" si="37"/>
        <v>8.2622277753021195E-2</v>
      </c>
      <c r="CA34" s="189">
        <f t="shared" si="38"/>
        <v>0</v>
      </c>
      <c r="CB34" s="147">
        <f t="shared" si="50"/>
        <v>10139003.059624435</v>
      </c>
      <c r="CC34" s="190">
        <f t="shared" si="51"/>
        <v>0.17983257891040069</v>
      </c>
      <c r="CD34" s="148">
        <f t="shared" si="39"/>
        <v>0</v>
      </c>
      <c r="CE34" s="97"/>
      <c r="CF34" s="154">
        <f t="shared" si="40"/>
        <v>16914070.5</v>
      </c>
      <c r="CG34" s="189">
        <f t="shared" si="41"/>
        <v>0</v>
      </c>
      <c r="CH34" s="266">
        <f t="shared" si="42"/>
        <v>10139003.059624435</v>
      </c>
      <c r="CI34" s="155">
        <f t="shared" si="43"/>
        <v>0.17983257891040069</v>
      </c>
      <c r="CJ34" s="275">
        <v>8680792.6820716076</v>
      </c>
      <c r="CK34" s="276">
        <f t="shared" si="44"/>
        <v>0.16798124675462664</v>
      </c>
      <c r="CL34" s="277">
        <f t="shared" si="52"/>
        <v>1.851077525660104</v>
      </c>
      <c r="CM34" s="278">
        <f>'Ridership'!P24</f>
        <v>0.18758827746271942</v>
      </c>
      <c r="CN34" s="277">
        <f t="shared" si="53"/>
        <v>0</v>
      </c>
      <c r="CO34" s="279"/>
    </row>
    <row r="35" spans="1:93">
      <c r="A35" s="71" t="s">
        <v>225</v>
      </c>
      <c r="B35" s="240" t="s">
        <v>29</v>
      </c>
      <c r="C35" s="27"/>
      <c r="D35" s="70">
        <f>'Op Cost - Performance'!F25</f>
        <v>5582819</v>
      </c>
      <c r="E35" s="175">
        <f>'Ridership'!$F25</f>
        <v>511726</v>
      </c>
      <c r="F35" s="175">
        <f>'Revenue Hours - Sizing'!F25</f>
        <v>44373</v>
      </c>
      <c r="G35" s="175">
        <f>'Revenue Miles - Sizing'!F25</f>
        <v>571373</v>
      </c>
      <c r="H35" s="176">
        <f t="shared" si="45"/>
        <v>8.6629637923855262E-3</v>
      </c>
      <c r="I35" s="110">
        <f t="shared" si="0"/>
        <v>8.6629637923855262E-3</v>
      </c>
      <c r="J35" s="111"/>
      <c r="K35" s="112">
        <f>'Ridership'!C25/'Revenue Hours'!B25</f>
        <v>8.5454680032144825</v>
      </c>
      <c r="L35" s="177">
        <f>'Ridership'!D25/'Revenue Hours'!C25</f>
        <v>10.854112978631212</v>
      </c>
      <c r="M35" s="177">
        <f>'Ridership'!E25/'Revenue Hours'!D25</f>
        <v>11.340132291040289</v>
      </c>
      <c r="N35" s="177">
        <f>'Ridership'!F25/'Revenue Hours'!E25</f>
        <v>11.532373290063777</v>
      </c>
      <c r="O35" s="178">
        <f t="shared" si="1"/>
        <v>1.0014814262909837</v>
      </c>
      <c r="P35" s="179">
        <f t="shared" si="2"/>
        <v>8.6757973347054065E-3</v>
      </c>
      <c r="Q35" s="113">
        <f t="shared" si="3"/>
        <v>8.5892377431004089E-3</v>
      </c>
      <c r="R35" s="114">
        <f>'Ridership'!C25/'Revenue Miles'!C25</f>
        <v>0.7290038463481342</v>
      </c>
      <c r="S35" s="177">
        <f>'Ridership'!D25/'Revenue Miles'!D25</f>
        <v>0.86015998033680452</v>
      </c>
      <c r="T35" s="177">
        <f>'Ridership'!E25/'Revenue Miles'!E25</f>
        <v>0.8741584575135769</v>
      </c>
      <c r="U35" s="177">
        <f>'Ridership'!F25/'Revenue Miles'!F25</f>
        <v>0.89560759783888988</v>
      </c>
      <c r="V35" s="178">
        <f t="shared" si="4"/>
        <v>0.96678169138976122</v>
      </c>
      <c r="W35" s="179">
        <f t="shared" si="5"/>
        <v>8.3751947876507388E-3</v>
      </c>
      <c r="X35" s="113">
        <f t="shared" si="6"/>
        <v>8.2772252762093098E-3</v>
      </c>
      <c r="Y35" s="262">
        <f>'Op Cost - Performance'!C25/'Revenue Hours'!B25</f>
        <v>86.295224802267057</v>
      </c>
      <c r="Z35" s="263">
        <f>'Op Cost - Performance'!D25/'Revenue Hours'!C25</f>
        <v>108.01972678966453</v>
      </c>
      <c r="AA35" s="263">
        <f>'Op Cost - Performance'!E25/'Revenue Hours'!D25</f>
        <v>94.504918821407102</v>
      </c>
      <c r="AB35" s="263">
        <f>'Op Cost - Performance'!F25/'Revenue Hours'!E25</f>
        <v>125.81567619949068</v>
      </c>
      <c r="AC35" s="178">
        <f t="shared" si="7"/>
        <v>1.0772506029696165</v>
      </c>
      <c r="AD35" s="179">
        <f t="shared" si="8"/>
        <v>8.0417349208296175E-3</v>
      </c>
      <c r="AE35" s="113">
        <f t="shared" si="9"/>
        <v>8.01802318985405E-3</v>
      </c>
      <c r="AF35" s="262">
        <f>'Op Cost - Performance'!C25/'Revenue Miles'!C25</f>
        <v>7.3617443513527165</v>
      </c>
      <c r="AG35" s="263">
        <f>'Op Cost - Performance'!D25/'Revenue Miles'!D25</f>
        <v>8.5602799836621983</v>
      </c>
      <c r="AH35" s="263">
        <f>'Op Cost - Performance'!E25/'Revenue Miles'!E25</f>
        <v>7.2849480009715633</v>
      </c>
      <c r="AI35" s="263">
        <f>'Op Cost - Performance'!F25/'Revenue Miles'!F25</f>
        <v>9.7708834684173027</v>
      </c>
      <c r="AJ35" s="178">
        <f t="shared" si="10"/>
        <v>1.0425730290950916</v>
      </c>
      <c r="AK35" s="179">
        <f t="shared" si="11"/>
        <v>8.3092153265317097E-3</v>
      </c>
      <c r="AL35" s="113">
        <f t="shared" si="12"/>
        <v>8.300515500200039E-3</v>
      </c>
      <c r="AM35" s="262">
        <f>'Op Cost - Performance'!C25/'Ridership'!C25</f>
        <v>10.098361467131589</v>
      </c>
      <c r="AN35" s="263">
        <f>'Op Cost - Performance'!D25/'Ridership'!D25</f>
        <v>9.9519626341024754</v>
      </c>
      <c r="AO35" s="263">
        <f>'Op Cost - Performance'!E25/'Ridership'!E25</f>
        <v>8.3336698722707467</v>
      </c>
      <c r="AP35" s="263">
        <f>'Op Cost - Performance'!F25/'Ridership'!F25</f>
        <v>10.909781797289956</v>
      </c>
      <c r="AQ35" s="264">
        <f t="shared" si="13"/>
        <v>1.0771507689659856</v>
      </c>
      <c r="AR35" s="179">
        <f t="shared" si="14"/>
        <v>8.0424802562240813E-3</v>
      </c>
      <c r="AS35" s="115">
        <f t="shared" si="15"/>
        <v>8.0144744864864888E-3</v>
      </c>
      <c r="AT35" s="111"/>
      <c r="AU35" s="116">
        <f t="shared" si="16"/>
        <v>1.7178475486200819E-3</v>
      </c>
      <c r="AV35" s="180">
        <f t="shared" si="17"/>
        <v>1.655445055241862E-3</v>
      </c>
      <c r="AW35" s="180">
        <f t="shared" si="18"/>
        <v>1.6036046379708101E-3</v>
      </c>
      <c r="AX35" s="180">
        <f t="shared" si="19"/>
        <v>1.660103100040008E-3</v>
      </c>
      <c r="AY35" s="117">
        <f t="shared" si="20"/>
        <v>1.6028948972972978E-3</v>
      </c>
      <c r="AZ35" s="111"/>
      <c r="BA35" s="118">
        <f t="shared" si="21"/>
        <v>238437.5627038065</v>
      </c>
      <c r="BB35" s="181">
        <f t="shared" si="22"/>
        <v>229776.08489124084</v>
      </c>
      <c r="BC35" s="181">
        <f t="shared" si="23"/>
        <v>222580.62522802039</v>
      </c>
      <c r="BD35" s="181">
        <f t="shared" si="24"/>
        <v>230422.62238493591</v>
      </c>
      <c r="BE35" s="181">
        <f t="shared" si="25"/>
        <v>222482.11308910561</v>
      </c>
      <c r="BF35" s="119">
        <f t="shared" si="26"/>
        <v>1143699.0082971093</v>
      </c>
      <c r="BH35" s="257">
        <f>'Op Cost - Performance'!F25</f>
        <v>5582819</v>
      </c>
      <c r="BI35" s="182">
        <f t="shared" si="27"/>
        <v>0.20486048505192614</v>
      </c>
      <c r="BJ35" s="183">
        <f t="shared" si="28"/>
        <v>1143699.0082971093</v>
      </c>
      <c r="BK35" s="138">
        <f t="shared" si="29"/>
        <v>0</v>
      </c>
      <c r="BM35" s="52">
        <f t="shared" si="30"/>
        <v>1143699.0082971093</v>
      </c>
      <c r="BN35" s="184">
        <f t="shared" si="31"/>
        <v>9.4459460679214811E-3</v>
      </c>
      <c r="BO35" s="259">
        <f t="shared" si="32"/>
        <v>15461.434725187812</v>
      </c>
      <c r="BP35" s="259">
        <f t="shared" si="46"/>
        <v>1159160.443022297</v>
      </c>
      <c r="BQ35" s="185">
        <f t="shared" si="47"/>
        <v>0.20762995236318732</v>
      </c>
      <c r="BR35" s="142">
        <f t="shared" si="33"/>
        <v>0</v>
      </c>
      <c r="BS35" s="11"/>
      <c r="BT35" s="256">
        <f t="shared" si="34"/>
        <v>5582819</v>
      </c>
      <c r="BU35" s="186">
        <f t="shared" si="48"/>
        <v>0.20762995236318732</v>
      </c>
      <c r="BV35" s="187">
        <f t="shared" si="35"/>
        <v>1159160.443022297</v>
      </c>
      <c r="BW35" s="143">
        <f t="shared" si="36"/>
        <v>0</v>
      </c>
      <c r="BY35" s="52">
        <f t="shared" si="49"/>
        <v>1159160.443022297</v>
      </c>
      <c r="BZ35" s="188">
        <f t="shared" si="37"/>
        <v>9.4459460679214829E-3</v>
      </c>
      <c r="CA35" s="189">
        <f t="shared" si="38"/>
        <v>0</v>
      </c>
      <c r="CB35" s="147">
        <f t="shared" si="50"/>
        <v>1159160.443022297</v>
      </c>
      <c r="CC35" s="190">
        <f t="shared" si="51"/>
        <v>0.20762995236318732</v>
      </c>
      <c r="CD35" s="148">
        <f t="shared" si="39"/>
        <v>0</v>
      </c>
      <c r="CE35" s="97"/>
      <c r="CF35" s="154">
        <f t="shared" si="40"/>
        <v>1674845.7</v>
      </c>
      <c r="CG35" s="189">
        <f t="shared" si="41"/>
        <v>0</v>
      </c>
      <c r="CH35" s="266">
        <f t="shared" si="42"/>
        <v>1159160.443022297</v>
      </c>
      <c r="CI35" s="155">
        <f t="shared" si="43"/>
        <v>0.20762995236318732</v>
      </c>
      <c r="CJ35" s="275">
        <v>1036983.6780129499</v>
      </c>
      <c r="CK35" s="276">
        <f t="shared" si="44"/>
        <v>0.1178193713168756</v>
      </c>
      <c r="CL35" s="277">
        <f t="shared" si="52"/>
        <v>1.298316297477202</v>
      </c>
      <c r="CM35" s="278">
        <f>'Ridership'!P25</f>
        <v>8.5393220295843175E-2</v>
      </c>
      <c r="CN35" s="277">
        <f t="shared" si="53"/>
        <v>0</v>
      </c>
      <c r="CO35" s="279"/>
    </row>
    <row r="36" spans="1:93">
      <c r="A36" s="71" t="s">
        <v>225</v>
      </c>
      <c r="B36" s="240" t="s">
        <v>39</v>
      </c>
      <c r="C36" s="27"/>
      <c r="D36" s="70">
        <f>'Op Cost - Performance'!F26</f>
        <v>83270105</v>
      </c>
      <c r="E36" s="175">
        <f>'Ridership'!$F26</f>
        <v>12101467</v>
      </c>
      <c r="F36" s="175">
        <f>'Revenue Hours - Sizing'!F26</f>
        <v>736249</v>
      </c>
      <c r="G36" s="175">
        <f>'Revenue Miles - Sizing'!F26</f>
        <v>9041020</v>
      </c>
      <c r="H36" s="191">
        <f t="shared" si="45"/>
        <v>0.15434086137488429</v>
      </c>
      <c r="I36" s="110">
        <f t="shared" si="0"/>
        <v>0.15434086137488429</v>
      </c>
      <c r="J36" s="111"/>
      <c r="K36" s="112">
        <f>'Ridership'!C26/'Revenue Hours'!B26</f>
        <v>14.999735241854868</v>
      </c>
      <c r="L36" s="177">
        <f>'Ridership'!D26/'Revenue Hours'!C26</f>
        <v>16.535848596310085</v>
      </c>
      <c r="M36" s="177">
        <f>'Ridership'!E26/'Revenue Hours'!D26</f>
        <v>17.148627838667668</v>
      </c>
      <c r="N36" s="177">
        <f>'Ridership'!F26/'Revenue Hours'!E26</f>
        <v>16.451084348486887</v>
      </c>
      <c r="O36" s="178">
        <f t="shared" si="1"/>
        <v>0.93375671384112591</v>
      </c>
      <c r="P36" s="179">
        <f t="shared" si="2"/>
        <v>0.14411681552882072</v>
      </c>
      <c r="Q36" s="113">
        <f t="shared" si="3"/>
        <v>0.14267894276458665</v>
      </c>
      <c r="R36" s="114">
        <f>'Ridership'!C26/'Revenue Miles'!C26</f>
        <v>1.2009259173704827</v>
      </c>
      <c r="S36" s="177">
        <f>'Ridership'!D26/'Revenue Miles'!D26</f>
        <v>1.3773946096971872</v>
      </c>
      <c r="T36" s="177">
        <f>'Ridership'!E26/'Revenue Miles'!E26</f>
        <v>1.4121637665246516</v>
      </c>
      <c r="U36" s="177">
        <f>'Ridership'!F26/'Revenue Miles'!F26</f>
        <v>1.3401851313299735</v>
      </c>
      <c r="V36" s="178">
        <f t="shared" si="4"/>
        <v>0.9366606693670011</v>
      </c>
      <c r="W36" s="179">
        <f t="shared" si="5"/>
        <v>0.14456501452607864</v>
      </c>
      <c r="X36" s="113">
        <f t="shared" si="6"/>
        <v>0.1428739536966008</v>
      </c>
      <c r="Y36" s="262">
        <f>'Op Cost - Performance'!C26/'Revenue Hours'!B26</f>
        <v>99.059409351732896</v>
      </c>
      <c r="Z36" s="263">
        <f>'Op Cost - Performance'!D26/'Revenue Hours'!C26</f>
        <v>118.20332157650328</v>
      </c>
      <c r="AA36" s="263">
        <f>'Op Cost - Performance'!E26/'Revenue Hours'!D26</f>
        <v>121.25076125565198</v>
      </c>
      <c r="AB36" s="263">
        <f>'Op Cost - Performance'!F26/'Revenue Hours'!E26</f>
        <v>113.19978983228725</v>
      </c>
      <c r="AC36" s="178">
        <f t="shared" si="7"/>
        <v>0.98425388823243531</v>
      </c>
      <c r="AD36" s="179">
        <f t="shared" si="8"/>
        <v>0.15681000930771644</v>
      </c>
      <c r="AE36" s="113">
        <f t="shared" si="9"/>
        <v>0.15634764182214439</v>
      </c>
      <c r="AF36" s="262">
        <f>'Op Cost - Performance'!C26/'Revenue Miles'!C26</f>
        <v>7.9310074565820816</v>
      </c>
      <c r="AG36" s="263">
        <f>'Op Cost - Performance'!D26/'Revenue Miles'!D26</f>
        <v>9.8460394723322455</v>
      </c>
      <c r="AH36" s="263">
        <f>'Op Cost - Performance'!E26/'Revenue Miles'!E26</f>
        <v>9.9848182210050158</v>
      </c>
      <c r="AI36" s="263">
        <f>'Op Cost - Performance'!F26/'Revenue Miles'!F26</f>
        <v>9.2218039850280711</v>
      </c>
      <c r="AJ36" s="178">
        <f t="shared" si="10"/>
        <v>0.98914945416664057</v>
      </c>
      <c r="AK36" s="179">
        <f t="shared" si="11"/>
        <v>0.15603391451589751</v>
      </c>
      <c r="AL36" s="113">
        <f t="shared" si="12"/>
        <v>0.15587054554484622</v>
      </c>
      <c r="AM36" s="262">
        <f>'Op Cost - Performance'!C26/'Ridership'!C26</f>
        <v>6.6040771889973175</v>
      </c>
      <c r="AN36" s="263">
        <f>'Op Cost - Performance'!D26/'Ridership'!D26</f>
        <v>7.148306957943479</v>
      </c>
      <c r="AO36" s="263">
        <f>'Op Cost - Performance'!E26/'Ridership'!E26</f>
        <v>7.0705809465553333</v>
      </c>
      <c r="AP36" s="263">
        <f>'Op Cost - Performance'!F26/'Ridership'!F26</f>
        <v>6.8809926102347756</v>
      </c>
      <c r="AQ36" s="178">
        <f t="shared" si="13"/>
        <v>1.0535629351990357</v>
      </c>
      <c r="AR36" s="179">
        <f t="shared" si="14"/>
        <v>0.14649420192987969</v>
      </c>
      <c r="AS36" s="115">
        <f t="shared" si="15"/>
        <v>0.14598407535742519</v>
      </c>
      <c r="AT36" s="111"/>
      <c r="AU36" s="116">
        <f t="shared" si="16"/>
        <v>2.8535788552917329E-2</v>
      </c>
      <c r="AV36" s="180">
        <f t="shared" si="17"/>
        <v>2.8574790739320163E-2</v>
      </c>
      <c r="AW36" s="180">
        <f t="shared" si="18"/>
        <v>3.1269528364428881E-2</v>
      </c>
      <c r="AX36" s="180">
        <f t="shared" si="19"/>
        <v>3.1174109108969245E-2</v>
      </c>
      <c r="AY36" s="117">
        <f t="shared" si="20"/>
        <v>2.9196815071485041E-2</v>
      </c>
      <c r="AZ36" s="111"/>
      <c r="BA36" s="118">
        <f t="shared" si="21"/>
        <v>3960772.8158731731</v>
      </c>
      <c r="BB36" s="181">
        <f t="shared" si="22"/>
        <v>3966186.3266782975</v>
      </c>
      <c r="BC36" s="181">
        <f t="shared" si="23"/>
        <v>4340216.4156540614</v>
      </c>
      <c r="BD36" s="181">
        <f t="shared" si="24"/>
        <v>4326972.2050574441</v>
      </c>
      <c r="BE36" s="181">
        <f t="shared" si="25"/>
        <v>4052523.4209233574</v>
      </c>
      <c r="BF36" s="120">
        <f t="shared" si="26"/>
        <v>20646671.184186332</v>
      </c>
      <c r="BG36" s="42"/>
      <c r="BH36" s="257">
        <f>'Op Cost - Performance'!F26</f>
        <v>83270105</v>
      </c>
      <c r="BI36" s="182">
        <f t="shared" si="27"/>
        <v>0.24794818241416092</v>
      </c>
      <c r="BJ36" s="187">
        <f t="shared" si="28"/>
        <v>20646671.184186332</v>
      </c>
      <c r="BK36" s="138">
        <f t="shared" si="29"/>
        <v>0</v>
      </c>
      <c r="BM36" s="52">
        <f t="shared" si="30"/>
        <v>20646671.184186332</v>
      </c>
      <c r="BN36" s="184">
        <f t="shared" si="31"/>
        <v>0.17052331170446253</v>
      </c>
      <c r="BO36" s="259">
        <f t="shared" si="32"/>
        <v>279118.1565174397</v>
      </c>
      <c r="BP36" s="259">
        <f t="shared" si="46"/>
        <v>20925789.340703771</v>
      </c>
      <c r="BQ36" s="185">
        <f t="shared" si="47"/>
        <v>0.25130014355936947</v>
      </c>
      <c r="BR36" s="142">
        <f t="shared" si="33"/>
        <v>0</v>
      </c>
      <c r="BS36" s="11"/>
      <c r="BT36" s="256">
        <f t="shared" si="34"/>
        <v>83270105</v>
      </c>
      <c r="BU36" s="186">
        <f t="shared" si="48"/>
        <v>0.25130014355936947</v>
      </c>
      <c r="BV36" s="187">
        <f t="shared" si="35"/>
        <v>20925789.340703771</v>
      </c>
      <c r="BW36" s="143">
        <f t="shared" si="36"/>
        <v>0</v>
      </c>
      <c r="BY36" s="52">
        <f t="shared" si="49"/>
        <v>20925789.340703771</v>
      </c>
      <c r="BZ36" s="188">
        <f t="shared" si="37"/>
        <v>0.17052331170446258</v>
      </c>
      <c r="CA36" s="189">
        <f t="shared" si="38"/>
        <v>0</v>
      </c>
      <c r="CB36" s="147">
        <f t="shared" si="50"/>
        <v>20925789.340703771</v>
      </c>
      <c r="CC36" s="190">
        <f t="shared" si="51"/>
        <v>0.25130014355936947</v>
      </c>
      <c r="CD36" s="148">
        <f t="shared" si="39"/>
        <v>0</v>
      </c>
      <c r="CE36" s="97"/>
      <c r="CF36" s="154">
        <f t="shared" si="40"/>
        <v>24981031.5</v>
      </c>
      <c r="CG36" s="189">
        <f t="shared" si="41"/>
        <v>0</v>
      </c>
      <c r="CH36" s="266">
        <f t="shared" si="42"/>
        <v>20925789.340703771</v>
      </c>
      <c r="CI36" s="155">
        <f t="shared" si="43"/>
        <v>0.25130014355936947</v>
      </c>
      <c r="CJ36" s="275">
        <v>19149752.348223709</v>
      </c>
      <c r="CK36" s="276">
        <f t="shared" si="44"/>
        <v>9.2744645475522483E-2</v>
      </c>
      <c r="CL36" s="277">
        <f t="shared" si="52"/>
        <v>1.0220041354724929</v>
      </c>
      <c r="CM36" s="278">
        <f>'Ridership'!P26</f>
        <v>0.11801024582988848</v>
      </c>
      <c r="CN36" s="277">
        <f t="shared" si="53"/>
        <v>0</v>
      </c>
      <c r="CO36" s="279"/>
    </row>
    <row r="37" spans="1:93">
      <c r="A37" s="71" t="s">
        <v>226</v>
      </c>
      <c r="B37" s="240" t="s">
        <v>55</v>
      </c>
      <c r="C37" s="27"/>
      <c r="D37" s="70">
        <f>'Op Cost - Performance'!F27</f>
        <v>174101</v>
      </c>
      <c r="E37" s="175">
        <f>'Ridership'!$F27</f>
        <v>7175</v>
      </c>
      <c r="F37" s="175">
        <f>'Revenue Hours - Sizing'!F27</f>
        <v>1600</v>
      </c>
      <c r="G37" s="175">
        <f>'Revenue Miles - Sizing'!F27</f>
        <v>19549</v>
      </c>
      <c r="H37" s="191">
        <f t="shared" si="45"/>
        <v>2.3221580436230983E-4</v>
      </c>
      <c r="I37" s="110">
        <f t="shared" si="0"/>
        <v>2.3221580436230983E-4</v>
      </c>
      <c r="J37" s="111"/>
      <c r="K37" s="112">
        <v>0</v>
      </c>
      <c r="L37" s="177">
        <f>'Ridership'!D27/'Revenue Hours'!C27</f>
        <v>3.7652582159624415</v>
      </c>
      <c r="M37" s="177">
        <f>'Ridership'!E27/'Revenue Hours'!D27</f>
        <v>4.0764058679706601</v>
      </c>
      <c r="N37" s="177">
        <f>'Ridership'!F27/'Revenue Hours'!E27</f>
        <v>4.484375</v>
      </c>
      <c r="O37" s="178">
        <f t="shared" si="1"/>
        <v>1.0149303960100216</v>
      </c>
      <c r="P37" s="179">
        <f t="shared" ref="P37" si="54">$I37*O37</f>
        <v>2.3568287828122482E-4</v>
      </c>
      <c r="Q37" s="113">
        <f t="shared" si="3"/>
        <v>2.3333143864919174E-4</v>
      </c>
      <c r="R37" s="114">
        <v>0</v>
      </c>
      <c r="S37" s="177">
        <f>'Ridership'!D27/'Revenue Miles'!D27</f>
        <v>0.27907300438443872</v>
      </c>
      <c r="T37" s="177">
        <f>'Ridership'!E27/'Revenue Miles'!E27</f>
        <v>0.31877061325940442</v>
      </c>
      <c r="U37" s="177">
        <f>'Ridership'!F27/'Revenue Miles'!F27</f>
        <v>0.36702644636554299</v>
      </c>
      <c r="V37" s="178">
        <f t="shared" si="4"/>
        <v>1.0479132361127557</v>
      </c>
      <c r="W37" s="179">
        <f t="shared" ref="W37" si="55">$I37*V37</f>
        <v>2.4334201502583465E-4</v>
      </c>
      <c r="X37" s="113">
        <f t="shared" si="6"/>
        <v>2.4049550232616511E-4</v>
      </c>
      <c r="Y37" s="262">
        <v>0</v>
      </c>
      <c r="Z37" s="263">
        <f>'Op Cost - Performance'!D27/'Revenue Hours'!C27</f>
        <v>104.75305164319249</v>
      </c>
      <c r="AA37" s="263">
        <f>'Op Cost - Performance'!E27/'Revenue Hours'!D27</f>
        <v>101.24938875305624</v>
      </c>
      <c r="AB37" s="263">
        <f>'Op Cost - Performance'!F27/'Revenue Hours'!E27</f>
        <v>108.813125</v>
      </c>
      <c r="AC37" s="178">
        <f t="shared" si="7"/>
        <v>0.98947017763932632</v>
      </c>
      <c r="AD37" s="179">
        <f t="shared" ref="AD37" si="56">$I37*(1/AC37)</f>
        <v>2.3468701696126838E-4</v>
      </c>
      <c r="AE37" s="113">
        <f t="shared" si="9"/>
        <v>2.3399502257642112E-4</v>
      </c>
      <c r="AF37" s="262">
        <v>0</v>
      </c>
      <c r="AG37" s="263">
        <f>'Op Cost - Performance'!D27/'Revenue Miles'!D27</f>
        <v>7.7640754401837286</v>
      </c>
      <c r="AH37" s="263">
        <f>'Op Cost - Performance'!E27/'Revenue Miles'!E27</f>
        <v>7.9175947612446826</v>
      </c>
      <c r="AI37" s="263">
        <f>'Op Cost - Performance'!F27/'Revenue Miles'!F27</f>
        <v>8.9058775384930176</v>
      </c>
      <c r="AJ37" s="178">
        <f t="shared" si="10"/>
        <v>1.0088496641342009</v>
      </c>
      <c r="AK37" s="179">
        <f t="shared" ref="AK37" si="57">$I37*(1/AJ37)</f>
        <v>2.3017879929771145E-4</v>
      </c>
      <c r="AL37" s="113">
        <f t="shared" si="12"/>
        <v>2.2993779993731112E-4</v>
      </c>
      <c r="AM37" s="262">
        <v>0</v>
      </c>
      <c r="AN37" s="263">
        <f>'Op Cost - Performance'!D27/'Ridership'!D27</f>
        <v>27.820947630922692</v>
      </c>
      <c r="AO37" s="263">
        <f>'Op Cost - Performance'!E27/'Ridership'!E27</f>
        <v>24.837906732643575</v>
      </c>
      <c r="AP37" s="263">
        <f>'Op Cost - Performance'!F27/'Ridership'!F27</f>
        <v>24.264947735191637</v>
      </c>
      <c r="AQ37" s="178">
        <f t="shared" si="13"/>
        <v>0.96341400675239663</v>
      </c>
      <c r="AR37" s="179">
        <f t="shared" ref="AR37" si="58">$I37*(1/AQ37)</f>
        <v>2.4103428301306678E-4</v>
      </c>
      <c r="AS37" s="115">
        <f t="shared" si="15"/>
        <v>2.4019494609039225E-4</v>
      </c>
      <c r="AT37" s="111"/>
      <c r="AU37" s="116">
        <f t="shared" ref="AU37" si="59">Q37*AU$6</f>
        <v>4.6666287729838351E-5</v>
      </c>
      <c r="AV37" s="180">
        <f t="shared" ref="AV37" si="60">X37*AV$6</f>
        <v>4.8099100465233024E-5</v>
      </c>
      <c r="AW37" s="180">
        <f t="shared" ref="AW37" si="61">AE37*AW$6</f>
        <v>4.6799004515284228E-5</v>
      </c>
      <c r="AX37" s="180">
        <f t="shared" ref="AX37" si="62">AL37*AX$6</f>
        <v>4.5987559987462229E-5</v>
      </c>
      <c r="AY37" s="117">
        <f t="shared" ref="AY37" si="63">AS37*AY$6</f>
        <v>4.8038989218078453E-5</v>
      </c>
      <c r="AZ37" s="111"/>
      <c r="BA37" s="118">
        <f t="shared" ref="BA37" si="64">AU37*$BA$6</f>
        <v>6477.2895101636568</v>
      </c>
      <c r="BB37" s="181">
        <f t="shared" ref="BB37" si="65">AV37*$BA$6</f>
        <v>6676.1641872052314</v>
      </c>
      <c r="BC37" s="181">
        <f t="shared" ref="BC37" si="66">AW37*$BA$6</f>
        <v>6495.7106249342996</v>
      </c>
      <c r="BD37" s="181">
        <f t="shared" ref="BD37" si="67">AX37*$BA$6</f>
        <v>6383.0819719210349</v>
      </c>
      <c r="BE37" s="181">
        <f t="shared" ref="BE37" si="68">AY37*$BA$6</f>
        <v>6667.820734799262</v>
      </c>
      <c r="BF37" s="120">
        <f t="shared" ref="BF37" si="69">SUM(BA37:BE37)</f>
        <v>32700.067029023481</v>
      </c>
      <c r="BG37" s="42"/>
      <c r="BH37" s="257">
        <f>'Op Cost - Performance'!F27</f>
        <v>174101</v>
      </c>
      <c r="BI37" s="182">
        <f t="shared" ref="BI37" si="70">BF37/BH37</f>
        <v>0.18782239636201678</v>
      </c>
      <c r="BJ37" s="187">
        <f t="shared" ref="BJ37" si="71">IF(BF37&gt;BH37*$BJ$6,BH37*$BJ$6,BF37)</f>
        <v>32700.067029023481</v>
      </c>
      <c r="BK37" s="138">
        <f t="shared" ref="BK37" si="72">BF37-BJ37</f>
        <v>0</v>
      </c>
      <c r="BM37" s="52">
        <f t="shared" ref="BM37" si="73">IF(OR(BK37&gt;0,BI37&gt;=$BJ$6),0,BJ37)</f>
        <v>32700.067029023481</v>
      </c>
      <c r="BN37" s="184">
        <f t="shared" si="31"/>
        <v>2.7007374084679788E-4</v>
      </c>
      <c r="BO37" s="259">
        <f t="shared" ref="BO37" si="74">BN37*$BM$6</f>
        <v>442.06556813518796</v>
      </c>
      <c r="BP37" s="259">
        <f t="shared" ref="BP37" si="75">(BO37+BJ37)</f>
        <v>33142.13259715867</v>
      </c>
      <c r="BQ37" s="185">
        <f t="shared" ref="BQ37" si="76">BP37/BH37</f>
        <v>0.19036152921096761</v>
      </c>
      <c r="BR37" s="142">
        <f t="shared" ref="BR37" si="77">IF(BP37&gt;($BJ$6*BH37),1,0)</f>
        <v>0</v>
      </c>
      <c r="BS37" s="11"/>
      <c r="BT37" s="256">
        <f t="shared" ref="BT37" si="78">BH37</f>
        <v>174101</v>
      </c>
      <c r="BU37" s="186">
        <f t="shared" ref="BU37" si="79">BP37/BT37</f>
        <v>0.19036152921096761</v>
      </c>
      <c r="BV37" s="187">
        <f t="shared" ref="BV37" si="80">IF(BP37&gt;BH37*$BJ$6,BH37*$BJ$6,BP37)</f>
        <v>33142.13259715867</v>
      </c>
      <c r="BW37" s="143">
        <f t="shared" ref="BW37" si="81">BP37-BV37</f>
        <v>0</v>
      </c>
      <c r="BY37" s="52">
        <f t="shared" ref="BY37" si="82">IF(OR(BW37&gt;0,BU37&gt;=$BJ$6),0,BV37)</f>
        <v>33142.13259715867</v>
      </c>
      <c r="BZ37" s="188">
        <f t="shared" si="37"/>
        <v>2.7007374084679799E-4</v>
      </c>
      <c r="CA37" s="189">
        <f t="shared" si="38"/>
        <v>0</v>
      </c>
      <c r="CB37" s="147">
        <f t="shared" ref="CB37" si="83">(CA37+BV37)</f>
        <v>33142.13259715867</v>
      </c>
      <c r="CC37" s="190">
        <f t="shared" ref="CC37" si="84">CB37/BT37</f>
        <v>0.19036152921096761</v>
      </c>
      <c r="CD37" s="148">
        <f t="shared" ref="CD37" si="85">IF(CC37&gt;$BJ$6,1,0)</f>
        <v>0</v>
      </c>
      <c r="CE37" s="97"/>
      <c r="CF37" s="154">
        <f t="shared" ref="CF37" si="86">BH37*$BJ$6</f>
        <v>52230.299999999996</v>
      </c>
      <c r="CG37" s="189">
        <f t="shared" ref="CG37" si="87">IF(CB37&gt;CF37,CB37-CF37,0)</f>
        <v>0</v>
      </c>
      <c r="CH37" s="266">
        <f t="shared" ref="CH37" si="88">CB37-CG37</f>
        <v>33142.13259715867</v>
      </c>
      <c r="CI37" s="155">
        <f t="shared" ref="CI37" si="89">CH37/BT37</f>
        <v>0.19036152921096761</v>
      </c>
      <c r="CJ37" s="275"/>
      <c r="CK37" s="276"/>
      <c r="CL37" s="277">
        <f t="shared" si="52"/>
        <v>0</v>
      </c>
      <c r="CM37" s="278" t="s">
        <v>327</v>
      </c>
      <c r="CN37" s="277">
        <f t="shared" si="53"/>
        <v>0</v>
      </c>
      <c r="CO37" s="279"/>
    </row>
    <row r="38" spans="1:93">
      <c r="A38" s="71" t="s">
        <v>226</v>
      </c>
      <c r="B38" s="240" t="s">
        <v>56</v>
      </c>
      <c r="C38" s="27"/>
      <c r="D38" s="70">
        <f>'Op Cost - Performance'!F28</f>
        <v>14038846</v>
      </c>
      <c r="E38" s="175">
        <f>'Ridership'!$F28</f>
        <v>4783530</v>
      </c>
      <c r="F38" s="175">
        <f>'Revenue Hours - Sizing'!F28</f>
        <v>121490</v>
      </c>
      <c r="G38" s="175">
        <f>'Revenue Miles - Sizing'!F28</f>
        <v>1225247</v>
      </c>
      <c r="H38" s="191">
        <f t="shared" si="45"/>
        <v>3.9554780969302365E-2</v>
      </c>
      <c r="I38" s="110">
        <f t="shared" si="0"/>
        <v>3.9554780969302365E-2</v>
      </c>
      <c r="J38" s="111"/>
      <c r="K38" s="112">
        <f>'Ridership'!C28/'Revenue Hours'!B28</f>
        <v>32.633977790205321</v>
      </c>
      <c r="L38" s="177">
        <f>'Ridership'!D28/'Revenue Hours'!C28</f>
        <v>37.897163158744682</v>
      </c>
      <c r="M38" s="177">
        <f>'Ridership'!E28/'Revenue Hours'!D28</f>
        <v>38.169319221720308</v>
      </c>
      <c r="N38" s="177">
        <f>'Ridership'!F28/'Revenue Hours'!E28</f>
        <v>39.373857930693887</v>
      </c>
      <c r="O38" s="178">
        <f t="shared" si="1"/>
        <v>0.96371389977766109</v>
      </c>
      <c r="P38" s="179">
        <f t="shared" si="2"/>
        <v>3.8119492222777593E-2</v>
      </c>
      <c r="Q38" s="113">
        <f t="shared" si="3"/>
        <v>3.7739168945077887E-2</v>
      </c>
      <c r="R38" s="114">
        <f>'Ridership'!C28/'Revenue Miles'!C28</f>
        <v>3.1121743743196539</v>
      </c>
      <c r="S38" s="177">
        <f>'Ridership'!D28/'Revenue Miles'!D28</f>
        <v>3.6271477751754029</v>
      </c>
      <c r="T38" s="177">
        <f>'Ridership'!E28/'Revenue Miles'!E28</f>
        <v>3.7084216889153194</v>
      </c>
      <c r="U38" s="177">
        <f>'Ridership'!F28/'Revenue Miles'!F28</f>
        <v>3.9041352478316615</v>
      </c>
      <c r="V38" s="178">
        <f t="shared" si="4"/>
        <v>0.97347681516357387</v>
      </c>
      <c r="W38" s="179">
        <f t="shared" si="5"/>
        <v>3.8505662202489209E-2</v>
      </c>
      <c r="X38" s="113">
        <f t="shared" si="6"/>
        <v>3.8055239136595989E-2</v>
      </c>
      <c r="Y38" s="262">
        <f>'Op Cost - Performance'!C28/'Revenue Hours'!B28</f>
        <v>99.879114404410004</v>
      </c>
      <c r="Z38" s="263">
        <f>'Op Cost - Performance'!D28/'Revenue Hours'!C28</f>
        <v>129.41512623136137</v>
      </c>
      <c r="AA38" s="263">
        <f>'Op Cost - Performance'!E28/'Revenue Hours'!D28</f>
        <v>128.95146473590054</v>
      </c>
      <c r="AB38" s="263">
        <f>'Op Cost - Performance'!F28/'Revenue Hours'!E28</f>
        <v>115.55556835953577</v>
      </c>
      <c r="AC38" s="178">
        <f t="shared" si="7"/>
        <v>0.99448984394005169</v>
      </c>
      <c r="AD38" s="179">
        <f t="shared" si="8"/>
        <v>3.9773941594607926E-2</v>
      </c>
      <c r="AE38" s="113">
        <f t="shared" si="9"/>
        <v>3.9656664786529301E-2</v>
      </c>
      <c r="AF38" s="262">
        <f>'Op Cost - Performance'!C28/'Revenue Miles'!C28</f>
        <v>9.5250791177666656</v>
      </c>
      <c r="AG38" s="263">
        <f>'Op Cost - Performance'!D28/'Revenue Miles'!D28</f>
        <v>12.386356868398249</v>
      </c>
      <c r="AH38" s="263">
        <f>'Op Cost - Performance'!E28/'Revenue Miles'!E28</f>
        <v>12.528554828714064</v>
      </c>
      <c r="AI38" s="263">
        <f>'Op Cost - Performance'!F28/'Revenue Miles'!F28</f>
        <v>11.457972147656758</v>
      </c>
      <c r="AJ38" s="178">
        <f t="shared" si="10"/>
        <v>1.0034478503766797</v>
      </c>
      <c r="AK38" s="179">
        <f t="shared" si="11"/>
        <v>3.9418870601450863E-2</v>
      </c>
      <c r="AL38" s="113">
        <f t="shared" si="12"/>
        <v>3.9377598674446124E-2</v>
      </c>
      <c r="AM38" s="262">
        <f>'Op Cost - Performance'!C28/'Ridership'!C28</f>
        <v>3.0605865777841972</v>
      </c>
      <c r="AN38" s="263">
        <f>'Op Cost - Performance'!D28/'Ridership'!D28</f>
        <v>3.4149027379506931</v>
      </c>
      <c r="AO38" s="263">
        <f>'Op Cost - Performance'!E28/'Ridership'!E28</f>
        <v>3.3784062007194646</v>
      </c>
      <c r="AP38" s="263">
        <f>'Op Cost - Performance'!F28/'Ridership'!F28</f>
        <v>2.9348297178025433</v>
      </c>
      <c r="AQ38" s="178">
        <f t="shared" si="13"/>
        <v>1.0311978207749437</v>
      </c>
      <c r="AR38" s="179">
        <f t="shared" si="14"/>
        <v>3.8358092087100226E-2</v>
      </c>
      <c r="AS38" s="115">
        <f t="shared" si="15"/>
        <v>3.8224520370373494E-2</v>
      </c>
      <c r="AT38" s="111"/>
      <c r="AU38" s="116">
        <f t="shared" si="16"/>
        <v>7.547833789015578E-3</v>
      </c>
      <c r="AV38" s="180">
        <f t="shared" si="17"/>
        <v>7.6110478273191985E-3</v>
      </c>
      <c r="AW38" s="180">
        <f t="shared" si="18"/>
        <v>7.9313329573058606E-3</v>
      </c>
      <c r="AX38" s="180">
        <f t="shared" si="19"/>
        <v>7.8755197348892251E-3</v>
      </c>
      <c r="AY38" s="117">
        <f t="shared" si="20"/>
        <v>7.6449040740746987E-3</v>
      </c>
      <c r="AZ38" s="111"/>
      <c r="BA38" s="118">
        <f t="shared" si="21"/>
        <v>1047640.7489081146</v>
      </c>
      <c r="BB38" s="181">
        <f t="shared" si="22"/>
        <v>1056414.8693088964</v>
      </c>
      <c r="BC38" s="181">
        <f t="shared" si="23"/>
        <v>1100870.5055646494</v>
      </c>
      <c r="BD38" s="181">
        <f t="shared" si="24"/>
        <v>1093123.6198003346</v>
      </c>
      <c r="BE38" s="181">
        <f t="shared" si="25"/>
        <v>1061114.122723534</v>
      </c>
      <c r="BF38" s="119">
        <f t="shared" si="26"/>
        <v>5359163.8663055291</v>
      </c>
      <c r="BH38" s="257">
        <f>'Op Cost - Performance'!F28</f>
        <v>14038846</v>
      </c>
      <c r="BI38" s="182">
        <f t="shared" si="27"/>
        <v>0.3817382045721941</v>
      </c>
      <c r="BJ38" s="183">
        <f t="shared" si="28"/>
        <v>4211653.8</v>
      </c>
      <c r="BK38" s="138">
        <f t="shared" si="29"/>
        <v>1147510.0663055293</v>
      </c>
      <c r="BM38" s="52">
        <f t="shared" si="30"/>
        <v>0</v>
      </c>
      <c r="BN38" s="184">
        <f t="shared" si="31"/>
        <v>0</v>
      </c>
      <c r="BO38" s="259">
        <f t="shared" si="32"/>
        <v>0</v>
      </c>
      <c r="BP38" s="259">
        <f t="shared" si="46"/>
        <v>4211653.8</v>
      </c>
      <c r="BQ38" s="185">
        <f t="shared" si="47"/>
        <v>0.3</v>
      </c>
      <c r="BR38" s="142">
        <f t="shared" si="33"/>
        <v>0</v>
      </c>
      <c r="BS38" s="11"/>
      <c r="BT38" s="256">
        <f t="shared" si="34"/>
        <v>14038846</v>
      </c>
      <c r="BU38" s="186">
        <f t="shared" si="48"/>
        <v>0.3</v>
      </c>
      <c r="BV38" s="187">
        <f t="shared" si="35"/>
        <v>4211653.8</v>
      </c>
      <c r="BW38" s="143">
        <f t="shared" si="36"/>
        <v>0</v>
      </c>
      <c r="BY38" s="52">
        <f t="shared" si="49"/>
        <v>0</v>
      </c>
      <c r="BZ38" s="188">
        <f t="shared" si="37"/>
        <v>0</v>
      </c>
      <c r="CA38" s="189">
        <f t="shared" si="38"/>
        <v>0</v>
      </c>
      <c r="CB38" s="147">
        <f t="shared" si="50"/>
        <v>4211653.8</v>
      </c>
      <c r="CC38" s="190">
        <f t="shared" si="51"/>
        <v>0.3</v>
      </c>
      <c r="CD38" s="148">
        <f t="shared" si="39"/>
        <v>0</v>
      </c>
      <c r="CE38" s="97"/>
      <c r="CF38" s="154">
        <f t="shared" si="40"/>
        <v>4211653.8</v>
      </c>
      <c r="CG38" s="189">
        <f t="shared" si="41"/>
        <v>0</v>
      </c>
      <c r="CH38" s="266">
        <f t="shared" si="42"/>
        <v>4211653.8</v>
      </c>
      <c r="CI38" s="155">
        <f t="shared" si="43"/>
        <v>0.3</v>
      </c>
      <c r="CJ38" s="275">
        <v>3842698.1999999997</v>
      </c>
      <c r="CK38" s="276">
        <f t="shared" si="44"/>
        <v>9.6014722155385535E-2</v>
      </c>
      <c r="CL38" s="277">
        <f t="shared" si="52"/>
        <v>1.0580389046281338</v>
      </c>
      <c r="CM38" s="278">
        <f>'Ridership'!P28</f>
        <v>0.26166874723554245</v>
      </c>
      <c r="CN38" s="277">
        <f t="shared" si="53"/>
        <v>0</v>
      </c>
      <c r="CO38" s="279"/>
    </row>
    <row r="39" spans="1:93">
      <c r="A39" s="71" t="s">
        <v>226</v>
      </c>
      <c r="B39" s="240" t="s">
        <v>30</v>
      </c>
      <c r="C39" s="27"/>
      <c r="D39" s="70">
        <f>'Op Cost - Performance'!F29</f>
        <v>2810399</v>
      </c>
      <c r="E39" s="175">
        <f>'Ridership'!$F29</f>
        <v>140253</v>
      </c>
      <c r="F39" s="175">
        <f>'Revenue Hours - Sizing'!F29</f>
        <v>35518.39</v>
      </c>
      <c r="G39" s="175">
        <f>'Revenue Miles - Sizing'!F29</f>
        <v>415651.78999999992</v>
      </c>
      <c r="H39" s="191">
        <f t="shared" si="45"/>
        <v>4.2182625520841652E-3</v>
      </c>
      <c r="I39" s="110">
        <f t="shared" si="0"/>
        <v>4.2182625520841652E-3</v>
      </c>
      <c r="J39" s="111"/>
      <c r="K39" s="112">
        <f>'Ridership'!C29/'Revenue Hours'!B29</f>
        <v>4.039822296622992</v>
      </c>
      <c r="L39" s="177">
        <f>'Ridership'!D29/'Revenue Hours'!C29</f>
        <v>3.7461598379809939</v>
      </c>
      <c r="M39" s="177">
        <f>'Ridership'!E29/'Revenue Hours'!D29</f>
        <v>2.4768128564237677</v>
      </c>
      <c r="N39" s="177">
        <f>'Ridership'!F29/'Revenue Hours'!E29</f>
        <v>3.9487431721989652</v>
      </c>
      <c r="O39" s="178">
        <f t="shared" si="1"/>
        <v>0.96682370722301858</v>
      </c>
      <c r="P39" s="179">
        <f t="shared" si="2"/>
        <v>4.0783162386460441E-3</v>
      </c>
      <c r="Q39" s="113">
        <f t="shared" si="3"/>
        <v>4.0376263314900679E-3</v>
      </c>
      <c r="R39" s="114">
        <f>'Ridership'!C29/'Revenue Miles'!C29</f>
        <v>0.3358526722031458</v>
      </c>
      <c r="S39" s="177">
        <f>'Ridership'!D29/'Revenue Miles'!D29</f>
        <v>0.30962589842834592</v>
      </c>
      <c r="T39" s="177">
        <f>'Ridership'!E29/'Revenue Miles'!E29</f>
        <v>0.20736565509904506</v>
      </c>
      <c r="U39" s="177">
        <f>'Ridership'!F29/'Revenue Miles'!F29</f>
        <v>0.33742907735342609</v>
      </c>
      <c r="V39" s="178">
        <f t="shared" si="4"/>
        <v>0.97582538919557626</v>
      </c>
      <c r="W39" s="179">
        <f t="shared" si="5"/>
        <v>4.1162876966166556E-3</v>
      </c>
      <c r="X39" s="113">
        <f t="shared" si="6"/>
        <v>4.0681370917871979E-3</v>
      </c>
      <c r="Y39" s="262">
        <f>'Op Cost - Performance'!C29/'Revenue Hours'!B29</f>
        <v>56.597366641985644</v>
      </c>
      <c r="Z39" s="263">
        <f>'Op Cost - Performance'!D29/'Revenue Hours'!C29</f>
        <v>81.316934101885025</v>
      </c>
      <c r="AA39" s="263">
        <f>'Op Cost - Performance'!E29/'Revenue Hours'!D29</f>
        <v>77.607057333747079</v>
      </c>
      <c r="AB39" s="263">
        <f>'Op Cost - Performance'!F29/'Revenue Hours'!E29</f>
        <v>79.125179941996251</v>
      </c>
      <c r="AC39" s="178">
        <f t="shared" si="7"/>
        <v>1.0624536835709457</v>
      </c>
      <c r="AD39" s="179">
        <f t="shared" si="8"/>
        <v>3.97030253394805E-3</v>
      </c>
      <c r="AE39" s="113">
        <f t="shared" si="9"/>
        <v>3.9585957633937576E-3</v>
      </c>
      <c r="AF39" s="262">
        <f>'Op Cost - Performance'!C29/'Revenue Miles'!C29</f>
        <v>4.7052507339893959</v>
      </c>
      <c r="AG39" s="263">
        <f>'Op Cost - Performance'!D29/'Revenue Miles'!D29</f>
        <v>6.7209702382331962</v>
      </c>
      <c r="AH39" s="263">
        <f>'Op Cost - Performance'!E29/'Revenue Miles'!E29</f>
        <v>6.4974785004782749</v>
      </c>
      <c r="AI39" s="263">
        <f>'Op Cost - Performance'!F29/'Revenue Miles'!F29</f>
        <v>6.7614264334095626</v>
      </c>
      <c r="AJ39" s="178">
        <f t="shared" si="10"/>
        <v>1.0672030166667137</v>
      </c>
      <c r="AK39" s="179">
        <f t="shared" si="11"/>
        <v>3.9526336472130901E-3</v>
      </c>
      <c r="AL39" s="113">
        <f t="shared" si="12"/>
        <v>3.9484952027352251E-3</v>
      </c>
      <c r="AM39" s="262">
        <f>'Op Cost - Performance'!C29/'Ridership'!C29</f>
        <v>14.009865406529656</v>
      </c>
      <c r="AN39" s="263">
        <f>'Op Cost - Performance'!D29/'Ridership'!D29</f>
        <v>21.706744404614373</v>
      </c>
      <c r="AO39" s="263">
        <f>'Op Cost - Performance'!E29/'Ridership'!E29</f>
        <v>31.333436086003985</v>
      </c>
      <c r="AP39" s="263">
        <f>'Op Cost - Performance'!F29/'Ridership'!F29</f>
        <v>20.038066921919675</v>
      </c>
      <c r="AQ39" s="264">
        <f t="shared" si="13"/>
        <v>1.2688323965658117</v>
      </c>
      <c r="AR39" s="179">
        <f t="shared" si="14"/>
        <v>3.3245230524545271E-3</v>
      </c>
      <c r="AS39" s="115">
        <f t="shared" si="15"/>
        <v>3.3129462970099234E-3</v>
      </c>
      <c r="AT39" s="111"/>
      <c r="AU39" s="116">
        <f t="shared" si="16"/>
        <v>8.0752526629801361E-4</v>
      </c>
      <c r="AV39" s="180">
        <f t="shared" si="17"/>
        <v>8.1362741835743965E-4</v>
      </c>
      <c r="AW39" s="180">
        <f t="shared" si="18"/>
        <v>7.9171915267875156E-4</v>
      </c>
      <c r="AX39" s="180">
        <f t="shared" si="19"/>
        <v>7.8969904054704504E-4</v>
      </c>
      <c r="AY39" s="117">
        <f t="shared" si="20"/>
        <v>6.625892594019847E-4</v>
      </c>
      <c r="AZ39" s="111"/>
      <c r="BA39" s="118">
        <f t="shared" si="21"/>
        <v>112084.65877691435</v>
      </c>
      <c r="BB39" s="181">
        <f t="shared" si="22"/>
        <v>112931.63862996727</v>
      </c>
      <c r="BC39" s="181">
        <f t="shared" si="23"/>
        <v>109890.76723501142</v>
      </c>
      <c r="BD39" s="181">
        <f t="shared" si="24"/>
        <v>109610.37529134947</v>
      </c>
      <c r="BE39" s="181">
        <f t="shared" si="25"/>
        <v>91967.513771776241</v>
      </c>
      <c r="BF39" s="119">
        <f t="shared" si="26"/>
        <v>536484.95370501874</v>
      </c>
      <c r="BH39" s="257">
        <f>'Op Cost - Performance'!F29</f>
        <v>2810399</v>
      </c>
      <c r="BI39" s="182">
        <f t="shared" si="27"/>
        <v>0.19089280693062399</v>
      </c>
      <c r="BJ39" s="183">
        <f t="shared" si="28"/>
        <v>536484.95370501874</v>
      </c>
      <c r="BK39" s="138">
        <f t="shared" si="29"/>
        <v>0</v>
      </c>
      <c r="BM39" s="52">
        <f t="shared" si="30"/>
        <v>536484.95370501874</v>
      </c>
      <c r="BN39" s="184">
        <f t="shared" si="31"/>
        <v>4.4308930078502794E-3</v>
      </c>
      <c r="BO39" s="259">
        <f t="shared" si="32"/>
        <v>7252.6311840612607</v>
      </c>
      <c r="BP39" s="259">
        <f t="shared" si="46"/>
        <v>543737.58488908003</v>
      </c>
      <c r="BQ39" s="185">
        <f t="shared" si="47"/>
        <v>0.19347344803676633</v>
      </c>
      <c r="BR39" s="142">
        <f t="shared" si="33"/>
        <v>0</v>
      </c>
      <c r="BS39" s="11"/>
      <c r="BT39" s="256">
        <f t="shared" si="34"/>
        <v>2810399</v>
      </c>
      <c r="BU39" s="186">
        <f t="shared" si="48"/>
        <v>0.19347344803676633</v>
      </c>
      <c r="BV39" s="187">
        <f t="shared" si="35"/>
        <v>543737.58488908003</v>
      </c>
      <c r="BW39" s="143">
        <f t="shared" si="36"/>
        <v>0</v>
      </c>
      <c r="BY39" s="52">
        <f t="shared" si="49"/>
        <v>543737.58488908003</v>
      </c>
      <c r="BZ39" s="188">
        <f t="shared" si="37"/>
        <v>4.4308930078502803E-3</v>
      </c>
      <c r="CA39" s="189">
        <f t="shared" si="38"/>
        <v>0</v>
      </c>
      <c r="CB39" s="147">
        <f t="shared" si="50"/>
        <v>543737.58488908003</v>
      </c>
      <c r="CC39" s="190">
        <f t="shared" si="51"/>
        <v>0.19347344803676633</v>
      </c>
      <c r="CD39" s="148">
        <f t="shared" si="39"/>
        <v>0</v>
      </c>
      <c r="CE39" s="97"/>
      <c r="CF39" s="154">
        <f t="shared" si="40"/>
        <v>843119.7</v>
      </c>
      <c r="CG39" s="189">
        <f t="shared" si="41"/>
        <v>0</v>
      </c>
      <c r="CH39" s="266">
        <f t="shared" si="42"/>
        <v>543737.58488908003</v>
      </c>
      <c r="CI39" s="155">
        <f t="shared" si="43"/>
        <v>0.19347344803676633</v>
      </c>
      <c r="CJ39" s="275">
        <v>471126.30704332248</v>
      </c>
      <c r="CK39" s="276">
        <f t="shared" si="44"/>
        <v>0.15412274109983115</v>
      </c>
      <c r="CL39" s="277">
        <f t="shared" si="52"/>
        <v>1.6983630479880967</v>
      </c>
      <c r="CM39" s="278">
        <f>'Ridership'!P29</f>
        <v>0.5440753911023527</v>
      </c>
      <c r="CN39" s="277">
        <f t="shared" si="53"/>
        <v>0</v>
      </c>
      <c r="CO39" s="279"/>
    </row>
    <row r="40" spans="1:93">
      <c r="A40" s="71" t="s">
        <v>226</v>
      </c>
      <c r="B40" s="240" t="s">
        <v>40</v>
      </c>
      <c r="C40" s="27"/>
      <c r="D40" s="70">
        <f>'Op Cost - Performance'!F30</f>
        <v>11966953</v>
      </c>
      <c r="E40" s="175">
        <f>'Ridership'!$F30</f>
        <v>1454390</v>
      </c>
      <c r="F40" s="175">
        <f>'Revenue Hours - Sizing'!F30</f>
        <v>156195</v>
      </c>
      <c r="G40" s="175">
        <f>'Revenue Miles - Sizing'!F30</f>
        <v>2558671</v>
      </c>
      <c r="H40" s="191">
        <f t="shared" si="45"/>
        <v>2.3596242459454492E-2</v>
      </c>
      <c r="I40" s="110">
        <f t="shared" si="0"/>
        <v>2.3596242459454492E-2</v>
      </c>
      <c r="J40" s="111"/>
      <c r="K40" s="112">
        <f>'Ridership'!C30/'Revenue Hours'!B30</f>
        <v>7.2816302952503209</v>
      </c>
      <c r="L40" s="177">
        <f>'Ridership'!D30/'Revenue Hours'!C30</f>
        <v>9.0953319765962863</v>
      </c>
      <c r="M40" s="177">
        <f>'Ridership'!E30/'Revenue Hours'!D30</f>
        <v>9.762111458267805</v>
      </c>
      <c r="N40" s="177">
        <f>'Ridership'!F30/'Revenue Hours'!E30</f>
        <v>9.3113736035084358</v>
      </c>
      <c r="O40" s="178">
        <f t="shared" si="1"/>
        <v>0.98460759394626063</v>
      </c>
      <c r="P40" s="179">
        <f t="shared" si="2"/>
        <v>2.3233039514176084E-2</v>
      </c>
      <c r="Q40" s="113">
        <f t="shared" si="3"/>
        <v>2.3001240368287192E-2</v>
      </c>
      <c r="R40" s="114">
        <f>'Ridership'!C30/'Revenue Miles'!C30</f>
        <v>0.43926607650153893</v>
      </c>
      <c r="S40" s="177">
        <f>'Ridership'!D30/'Revenue Miles'!D30</f>
        <v>0.56790094587284767</v>
      </c>
      <c r="T40" s="177">
        <f>'Ridership'!E30/'Revenue Miles'!E30</f>
        <v>0.59179641982140629</v>
      </c>
      <c r="U40" s="177">
        <f>'Ridership'!F30/'Revenue Miles'!F30</f>
        <v>0.5684161816818184</v>
      </c>
      <c r="V40" s="178">
        <f t="shared" si="4"/>
        <v>0.98639158732805232</v>
      </c>
      <c r="W40" s="179">
        <f t="shared" si="5"/>
        <v>2.3275135054558901E-2</v>
      </c>
      <c r="X40" s="113">
        <f t="shared" si="6"/>
        <v>2.300287229914327E-2</v>
      </c>
      <c r="Y40" s="262">
        <f>'Op Cost - Performance'!C30/'Revenue Hours'!B30</f>
        <v>68.191964056482675</v>
      </c>
      <c r="Z40" s="263">
        <f>'Op Cost - Performance'!D30/'Revenue Hours'!C30</f>
        <v>90.06116622855366</v>
      </c>
      <c r="AA40" s="263">
        <f>'Op Cost - Performance'!E30/'Revenue Hours'!D30</f>
        <v>100.1120523950317</v>
      </c>
      <c r="AB40" s="263">
        <f>'Op Cost - Performance'!F30/'Revenue Hours'!E30</f>
        <v>76.615467844681334</v>
      </c>
      <c r="AC40" s="178">
        <f t="shared" si="7"/>
        <v>0.99846874201234703</v>
      </c>
      <c r="AD40" s="179">
        <f t="shared" si="8"/>
        <v>2.3632429806363132E-2</v>
      </c>
      <c r="AE40" s="113">
        <f t="shared" si="9"/>
        <v>2.3562747601791081E-2</v>
      </c>
      <c r="AF40" s="262">
        <f>'Op Cost - Performance'!C30/'Revenue Miles'!C30</f>
        <v>4.1136964231161048</v>
      </c>
      <c r="AG40" s="263">
        <f>'Op Cost - Performance'!D30/'Revenue Miles'!D30</f>
        <v>5.6233045279945362</v>
      </c>
      <c r="AH40" s="263">
        <f>'Op Cost - Performance'!E30/'Revenue Miles'!E30</f>
        <v>6.0689692431421438</v>
      </c>
      <c r="AI40" s="263">
        <f>'Op Cost - Performance'!F30/'Revenue Miles'!F30</f>
        <v>4.677019046215789</v>
      </c>
      <c r="AJ40" s="178">
        <f t="shared" si="10"/>
        <v>1.0007666109313542</v>
      </c>
      <c r="AK40" s="179">
        <f t="shared" si="11"/>
        <v>2.357816717875396E-2</v>
      </c>
      <c r="AL40" s="113">
        <f t="shared" si="12"/>
        <v>2.3553480616712499E-2</v>
      </c>
      <c r="AM40" s="262">
        <f>'Op Cost - Performance'!C30/'Ridership'!C30</f>
        <v>9.3649308316247648</v>
      </c>
      <c r="AN40" s="263">
        <f>'Op Cost - Performance'!D30/'Ridership'!D30</f>
        <v>9.9019108329740089</v>
      </c>
      <c r="AO40" s="263">
        <f>'Op Cost - Performance'!E30/'Ridership'!E30</f>
        <v>10.255163836532926</v>
      </c>
      <c r="AP40" s="263">
        <f>'Op Cost - Performance'!F30/'Ridership'!F30</f>
        <v>8.2281595720542633</v>
      </c>
      <c r="AQ40" s="178">
        <f t="shared" si="13"/>
        <v>1.004125281129624</v>
      </c>
      <c r="AR40" s="179">
        <f t="shared" si="14"/>
        <v>2.3499301235508301E-2</v>
      </c>
      <c r="AS40" s="115">
        <f t="shared" si="15"/>
        <v>2.3417471252912242E-2</v>
      </c>
      <c r="AT40" s="111"/>
      <c r="AU40" s="116">
        <f t="shared" si="16"/>
        <v>4.6002480736574381E-3</v>
      </c>
      <c r="AV40" s="180">
        <f t="shared" si="17"/>
        <v>4.600574459828654E-3</v>
      </c>
      <c r="AW40" s="180">
        <f t="shared" si="18"/>
        <v>4.7125495203582165E-3</v>
      </c>
      <c r="AX40" s="180">
        <f t="shared" si="19"/>
        <v>4.7106961233424997E-3</v>
      </c>
      <c r="AY40" s="117">
        <f t="shared" si="20"/>
        <v>4.6834942505824487E-3</v>
      </c>
      <c r="AZ40" s="111"/>
      <c r="BA40" s="118">
        <f t="shared" si="21"/>
        <v>638515.29747029021</v>
      </c>
      <c r="BB40" s="181">
        <f t="shared" si="22"/>
        <v>638560.59993221564</v>
      </c>
      <c r="BC40" s="181">
        <f t="shared" si="23"/>
        <v>654102.75938503025</v>
      </c>
      <c r="BD40" s="181">
        <f t="shared" si="24"/>
        <v>653845.5075308102</v>
      </c>
      <c r="BE40" s="181">
        <f t="shared" si="25"/>
        <v>650069.88247776299</v>
      </c>
      <c r="BF40" s="119">
        <f t="shared" si="26"/>
        <v>3235094.0467961095</v>
      </c>
      <c r="BH40" s="257">
        <f>'Op Cost - Performance'!F30</f>
        <v>11966953</v>
      </c>
      <c r="BI40" s="182">
        <f t="shared" si="27"/>
        <v>0.27033565242515029</v>
      </c>
      <c r="BJ40" s="183">
        <f t="shared" si="28"/>
        <v>3235094.0467961095</v>
      </c>
      <c r="BK40" s="138">
        <f t="shared" si="29"/>
        <v>0</v>
      </c>
      <c r="BM40" s="52">
        <f t="shared" si="30"/>
        <v>3235094.0467961095</v>
      </c>
      <c r="BN40" s="184">
        <f t="shared" si="31"/>
        <v>2.6719026307620471E-2</v>
      </c>
      <c r="BO40" s="259">
        <f t="shared" si="32"/>
        <v>43734.579702798677</v>
      </c>
      <c r="BP40" s="259">
        <f t="shared" si="46"/>
        <v>3278828.6264989083</v>
      </c>
      <c r="BQ40" s="185">
        <f t="shared" si="47"/>
        <v>0.27399026523283815</v>
      </c>
      <c r="BR40" s="142">
        <f t="shared" si="33"/>
        <v>0</v>
      </c>
      <c r="BS40" s="11"/>
      <c r="BT40" s="256">
        <f t="shared" si="34"/>
        <v>11966953</v>
      </c>
      <c r="BU40" s="186">
        <f t="shared" si="48"/>
        <v>0.27399026523283815</v>
      </c>
      <c r="BV40" s="187">
        <f t="shared" si="35"/>
        <v>3278828.6264989083</v>
      </c>
      <c r="BW40" s="143">
        <f t="shared" si="36"/>
        <v>0</v>
      </c>
      <c r="BY40" s="52">
        <f t="shared" si="49"/>
        <v>3278828.6264989083</v>
      </c>
      <c r="BZ40" s="188">
        <f t="shared" si="37"/>
        <v>2.6719026307620478E-2</v>
      </c>
      <c r="CA40" s="189">
        <f t="shared" si="38"/>
        <v>0</v>
      </c>
      <c r="CB40" s="147">
        <f t="shared" si="50"/>
        <v>3278828.6264989083</v>
      </c>
      <c r="CC40" s="190">
        <f t="shared" si="51"/>
        <v>0.27399026523283815</v>
      </c>
      <c r="CD40" s="148">
        <f t="shared" si="39"/>
        <v>0</v>
      </c>
      <c r="CE40" s="97"/>
      <c r="CF40" s="154">
        <f t="shared" si="40"/>
        <v>3590085.9</v>
      </c>
      <c r="CG40" s="189">
        <f t="shared" si="41"/>
        <v>0</v>
      </c>
      <c r="CH40" s="266">
        <f t="shared" si="42"/>
        <v>3278828.6264989083</v>
      </c>
      <c r="CI40" s="155">
        <f t="shared" si="43"/>
        <v>0.27399026523283815</v>
      </c>
      <c r="CJ40" s="275">
        <v>3193342.7257590448</v>
      </c>
      <c r="CK40" s="276">
        <f t="shared" si="44"/>
        <v>2.6770036316582292E-2</v>
      </c>
      <c r="CL40" s="277">
        <f t="shared" si="52"/>
        <v>0.2949937183113891</v>
      </c>
      <c r="CM40" s="278">
        <f>'Ridership'!P30</f>
        <v>4.1352220621550639E-2</v>
      </c>
      <c r="CN40" s="277">
        <f t="shared" si="53"/>
        <v>0</v>
      </c>
      <c r="CO40" s="279"/>
    </row>
    <row r="41" spans="1:93">
      <c r="A41" s="71" t="s">
        <v>226</v>
      </c>
      <c r="B41" s="240" t="s">
        <v>51</v>
      </c>
      <c r="C41" s="27"/>
      <c r="D41" s="70">
        <f>'Op Cost - Performance'!F31</f>
        <v>872107</v>
      </c>
      <c r="E41" s="175">
        <f>'Ridership'!$F31</f>
        <v>31591</v>
      </c>
      <c r="F41" s="175">
        <f>'Revenue Hours - Sizing'!F31</f>
        <v>18376</v>
      </c>
      <c r="G41" s="175">
        <f>'Revenue Miles - Sizing'!F31</f>
        <v>230357</v>
      </c>
      <c r="H41" s="191">
        <f t="shared" si="45"/>
        <v>1.5467857472163632E-3</v>
      </c>
      <c r="I41" s="110">
        <f t="shared" si="0"/>
        <v>1.5467857472163632E-3</v>
      </c>
      <c r="J41" s="111"/>
      <c r="K41" s="112">
        <f>'Ridership'!C31/'Revenue Hours'!B31</f>
        <v>1.5442640125720273</v>
      </c>
      <c r="L41" s="177">
        <f>'Ridership'!D31/'Revenue Hours'!C31</f>
        <v>1.4436910689691704</v>
      </c>
      <c r="M41" s="177">
        <f>'Ridership'!E31/'Revenue Hours'!D31</f>
        <v>1.5208775938322576</v>
      </c>
      <c r="N41" s="177">
        <f>'Ridership'!F31/'Revenue Hours'!E31</f>
        <v>1.7191445363517632</v>
      </c>
      <c r="O41" s="178">
        <f t="shared" si="1"/>
        <v>0.945331024647864</v>
      </c>
      <c r="P41" s="179">
        <f t="shared" si="2"/>
        <v>1.4622245553267566E-3</v>
      </c>
      <c r="Q41" s="113">
        <f t="shared" si="3"/>
        <v>1.447635745162004E-3</v>
      </c>
      <c r="R41" s="114">
        <f>'Ridership'!C31/'Revenue Miles'!C31</f>
        <v>0.13392938268912755</v>
      </c>
      <c r="S41" s="177">
        <f>'Ridership'!D31/'Revenue Miles'!D31</f>
        <v>0.11958963737845332</v>
      </c>
      <c r="T41" s="177">
        <f>'Ridership'!E31/'Revenue Miles'!E31</f>
        <v>0.12305297297297298</v>
      </c>
      <c r="U41" s="177">
        <f>'Ridership'!F31/'Revenue Miles'!F31</f>
        <v>0.13713930985383557</v>
      </c>
      <c r="V41" s="178">
        <f t="shared" si="4"/>
        <v>0.91838603948639064</v>
      </c>
      <c r="W41" s="179">
        <f t="shared" si="5"/>
        <v>1.4205464363200332E-3</v>
      </c>
      <c r="X41" s="113">
        <f t="shared" si="6"/>
        <v>1.403929480670077E-3</v>
      </c>
      <c r="Y41" s="262">
        <f>'Op Cost - Performance'!C31/'Revenue Hours'!B31</f>
        <v>41.282399161864852</v>
      </c>
      <c r="Z41" s="263">
        <f>'Op Cost - Performance'!D31/'Revenue Hours'!C31</f>
        <v>39.012660239432144</v>
      </c>
      <c r="AA41" s="263">
        <f>'Op Cost - Performance'!E31/'Revenue Hours'!D31</f>
        <v>39.784022126909051</v>
      </c>
      <c r="AB41" s="263">
        <f>'Op Cost - Performance'!F31/'Revenue Hours'!E31</f>
        <v>47.459022638223772</v>
      </c>
      <c r="AC41" s="178">
        <f t="shared" si="7"/>
        <v>0.98703544069134563</v>
      </c>
      <c r="AD41" s="179">
        <f t="shared" si="8"/>
        <v>1.5671025410525822E-3</v>
      </c>
      <c r="AE41" s="113">
        <f t="shared" si="9"/>
        <v>1.5624818075628075E-3</v>
      </c>
      <c r="AF41" s="262">
        <f>'Op Cost - Performance'!C31/'Revenue Miles'!C31</f>
        <v>3.5802985698449907</v>
      </c>
      <c r="AG41" s="263">
        <f>'Op Cost - Performance'!D31/'Revenue Miles'!D31</f>
        <v>3.2316539123108785</v>
      </c>
      <c r="AH41" s="263">
        <f>'Op Cost - Performance'!E31/'Revenue Miles'!E31</f>
        <v>3.2188929729729732</v>
      </c>
      <c r="AI41" s="263">
        <f>'Op Cost - Performance'!F31/'Revenue Miles'!F31</f>
        <v>3.785893200553923</v>
      </c>
      <c r="AJ41" s="178">
        <f t="shared" si="10"/>
        <v>0.95859320552909644</v>
      </c>
      <c r="AK41" s="179">
        <f t="shared" si="11"/>
        <v>1.6135997400092287E-3</v>
      </c>
      <c r="AL41" s="113">
        <f t="shared" si="12"/>
        <v>1.6119102859566798E-3</v>
      </c>
      <c r="AM41" s="262">
        <f>'Op Cost - Performance'!C31/'Ridership'!C31</f>
        <v>26.732734056987788</v>
      </c>
      <c r="AN41" s="263">
        <f>'Op Cost - Performance'!D31/'Ridership'!D31</f>
        <v>27.022859029867174</v>
      </c>
      <c r="AO41" s="263">
        <f>'Op Cost - Performance'!E31/'Ridership'!E31</f>
        <v>26.158595726736014</v>
      </c>
      <c r="AP41" s="263">
        <f>'Op Cost - Performance'!F31/'Ridership'!F31</f>
        <v>27.606185305941565</v>
      </c>
      <c r="AQ41" s="264">
        <f t="shared" si="13"/>
        <v>1.0475313467986036</v>
      </c>
      <c r="AR41" s="179">
        <f t="shared" si="14"/>
        <v>1.4766009169496913E-3</v>
      </c>
      <c r="AS41" s="115">
        <f t="shared" si="15"/>
        <v>1.4714590522565938E-3</v>
      </c>
      <c r="AT41" s="111"/>
      <c r="AU41" s="116">
        <f t="shared" si="16"/>
        <v>2.8952714903240082E-4</v>
      </c>
      <c r="AV41" s="180">
        <f t="shared" si="17"/>
        <v>2.8078589613401544E-4</v>
      </c>
      <c r="AW41" s="180">
        <f t="shared" si="18"/>
        <v>3.1249636151256153E-4</v>
      </c>
      <c r="AX41" s="180">
        <f t="shared" si="19"/>
        <v>3.2238205719133599E-4</v>
      </c>
      <c r="AY41" s="117">
        <f t="shared" si="20"/>
        <v>2.9429181045131881E-4</v>
      </c>
      <c r="AZ41" s="111"/>
      <c r="BA41" s="118">
        <f t="shared" si="21"/>
        <v>40186.422716801251</v>
      </c>
      <c r="BB41" s="181">
        <f t="shared" si="22"/>
        <v>38973.135171149814</v>
      </c>
      <c r="BC41" s="181">
        <f t="shared" si="23"/>
        <v>43374.553727259503</v>
      </c>
      <c r="BD41" s="181">
        <f t="shared" si="24"/>
        <v>44746.69014598419</v>
      </c>
      <c r="BE41" s="181">
        <f t="shared" si="25"/>
        <v>40847.758617503416</v>
      </c>
      <c r="BF41" s="119">
        <f t="shared" si="26"/>
        <v>208128.5603786982</v>
      </c>
      <c r="BH41" s="257">
        <f>'Op Cost - Performance'!F31</f>
        <v>872107</v>
      </c>
      <c r="BI41" s="182">
        <f t="shared" si="27"/>
        <v>0.23865025779944227</v>
      </c>
      <c r="BJ41" s="183">
        <f t="shared" si="28"/>
        <v>208128.5603786982</v>
      </c>
      <c r="BK41" s="138">
        <f t="shared" si="29"/>
        <v>0</v>
      </c>
      <c r="BM41" s="52">
        <f t="shared" si="30"/>
        <v>208128.5603786982</v>
      </c>
      <c r="BN41" s="184">
        <f t="shared" si="31"/>
        <v>1.7189585216642982E-3</v>
      </c>
      <c r="BO41" s="259">
        <f t="shared" si="32"/>
        <v>2813.6477581928543</v>
      </c>
      <c r="BP41" s="259">
        <f t="shared" si="46"/>
        <v>210942.20813689104</v>
      </c>
      <c r="BQ41" s="185">
        <f t="shared" si="47"/>
        <v>0.24187652218923944</v>
      </c>
      <c r="BR41" s="142">
        <f t="shared" si="33"/>
        <v>0</v>
      </c>
      <c r="BS41" s="11"/>
      <c r="BT41" s="256">
        <f t="shared" si="34"/>
        <v>872107</v>
      </c>
      <c r="BU41" s="186">
        <f t="shared" si="48"/>
        <v>0.24187652218923944</v>
      </c>
      <c r="BV41" s="187">
        <f t="shared" si="35"/>
        <v>210942.20813689104</v>
      </c>
      <c r="BW41" s="143">
        <f t="shared" si="36"/>
        <v>0</v>
      </c>
      <c r="BY41" s="52">
        <f t="shared" si="49"/>
        <v>210942.20813689104</v>
      </c>
      <c r="BZ41" s="188">
        <f t="shared" si="37"/>
        <v>1.7189585216642986E-3</v>
      </c>
      <c r="CA41" s="189">
        <f t="shared" si="38"/>
        <v>0</v>
      </c>
      <c r="CB41" s="147">
        <f t="shared" si="50"/>
        <v>210942.20813689104</v>
      </c>
      <c r="CC41" s="190">
        <f t="shared" si="51"/>
        <v>0.24187652218923944</v>
      </c>
      <c r="CD41" s="148">
        <f t="shared" si="39"/>
        <v>0</v>
      </c>
      <c r="CE41" s="97"/>
      <c r="CF41" s="154">
        <f t="shared" si="40"/>
        <v>261632.09999999998</v>
      </c>
      <c r="CG41" s="189">
        <f t="shared" si="41"/>
        <v>0</v>
      </c>
      <c r="CH41" s="266">
        <f t="shared" si="42"/>
        <v>210942.20813689104</v>
      </c>
      <c r="CI41" s="155">
        <f t="shared" si="43"/>
        <v>0.24187652218923944</v>
      </c>
      <c r="CJ41" s="275">
        <v>182624.43473776325</v>
      </c>
      <c r="CK41" s="276">
        <f t="shared" si="44"/>
        <v>0.15506015632459186</v>
      </c>
      <c r="CL41" s="277">
        <f t="shared" si="52"/>
        <v>1.7086929406891602</v>
      </c>
      <c r="CM41" s="278">
        <f>'Ridership'!P31</f>
        <v>0.11017008715209446</v>
      </c>
      <c r="CN41" s="277">
        <f t="shared" si="53"/>
        <v>0</v>
      </c>
      <c r="CO41" s="279"/>
    </row>
    <row r="42" spans="1:93">
      <c r="A42" s="71" t="s">
        <v>227</v>
      </c>
      <c r="B42" s="240" t="s">
        <v>25</v>
      </c>
      <c r="C42" s="27"/>
      <c r="D42" s="70">
        <f>'Op Cost - Performance'!F32</f>
        <v>3322249</v>
      </c>
      <c r="E42" s="175">
        <f>'Ridership'!$F32</f>
        <v>215834</v>
      </c>
      <c r="F42" s="175">
        <f>'Revenue Hours - Sizing'!F32</f>
        <v>36644</v>
      </c>
      <c r="G42" s="175">
        <f>'Revenue Miles - Sizing'!F32</f>
        <v>709247</v>
      </c>
      <c r="H42" s="191">
        <f t="shared" si="45"/>
        <v>5.4505729127320227E-3</v>
      </c>
      <c r="I42" s="110">
        <f t="shared" si="0"/>
        <v>5.4505729127320227E-3</v>
      </c>
      <c r="J42" s="111"/>
      <c r="K42" s="112">
        <f>'Ridership'!C32/'Revenue Hours'!B32</f>
        <v>4.4056907707718551</v>
      </c>
      <c r="L42" s="177">
        <f>'Ridership'!D32/'Revenue Hours'!C32</f>
        <v>5.2133876816389186</v>
      </c>
      <c r="M42" s="177">
        <f>'Ridership'!E32/'Revenue Hours'!D32</f>
        <v>5.8202861230563991</v>
      </c>
      <c r="N42" s="177">
        <f>'Ridership'!F32/'Revenue Hours'!E32</f>
        <v>5.890022923261653</v>
      </c>
      <c r="O42" s="178">
        <f t="shared" si="1"/>
        <v>0.99772996856182361</v>
      </c>
      <c r="P42" s="179">
        <f t="shared" si="2"/>
        <v>5.4381999408640485E-3</v>
      </c>
      <c r="Q42" s="113">
        <f t="shared" si="3"/>
        <v>5.3839422919371334E-3</v>
      </c>
      <c r="R42" s="114">
        <f>'Ridership'!C32/'Revenue Miles'!C32</f>
        <v>0.22914428374898088</v>
      </c>
      <c r="S42" s="177">
        <f>'Ridership'!D32/'Revenue Miles'!D32</f>
        <v>0.26595741807949275</v>
      </c>
      <c r="T42" s="177">
        <f>'Ridership'!E32/'Revenue Miles'!E32</f>
        <v>0.30135528958448876</v>
      </c>
      <c r="U42" s="177">
        <f>'Ridership'!F32/'Revenue Miles'!F32</f>
        <v>0.30431429389197273</v>
      </c>
      <c r="V42" s="178">
        <f t="shared" si="4"/>
        <v>0.99296597873951364</v>
      </c>
      <c r="W42" s="179">
        <f t="shared" si="5"/>
        <v>5.4122334669820344E-3</v>
      </c>
      <c r="X42" s="113">
        <f t="shared" si="6"/>
        <v>5.3489234327665893E-3</v>
      </c>
      <c r="Y42" s="262">
        <f>'Op Cost - Performance'!C32/'Revenue Hours'!B32</f>
        <v>68.297046322116032</v>
      </c>
      <c r="Z42" s="263">
        <f>'Op Cost - Performance'!D32/'Revenue Hours'!C32</f>
        <v>80.659776077922771</v>
      </c>
      <c r="AA42" s="263">
        <f>'Op Cost - Performance'!E32/'Revenue Hours'!D32</f>
        <v>92.151528563447897</v>
      </c>
      <c r="AB42" s="263">
        <f>'Op Cost - Performance'!F32/'Revenue Hours'!E32</f>
        <v>90.662837026525494</v>
      </c>
      <c r="AC42" s="178">
        <f t="shared" si="7"/>
        <v>1.0336033706228751</v>
      </c>
      <c r="AD42" s="179">
        <f t="shared" si="8"/>
        <v>5.2733699092403037E-3</v>
      </c>
      <c r="AE42" s="113">
        <f t="shared" si="9"/>
        <v>5.2578209350632663E-3</v>
      </c>
      <c r="AF42" s="262">
        <f>'Op Cost - Performance'!C32/'Revenue Miles'!C32</f>
        <v>3.5521961426517614</v>
      </c>
      <c r="AG42" s="263">
        <f>'Op Cost - Performance'!D32/'Revenue Miles'!D32</f>
        <v>4.1148034826005002</v>
      </c>
      <c r="AH42" s="263">
        <f>'Op Cost - Performance'!E32/'Revenue Miles'!E32</f>
        <v>4.7713033326458048</v>
      </c>
      <c r="AI42" s="263">
        <f>'Op Cost - Performance'!F32/'Revenue Miles'!F32</f>
        <v>4.6841918259788198</v>
      </c>
      <c r="AJ42" s="178">
        <f t="shared" si="10"/>
        <v>1.0284792768779554</v>
      </c>
      <c r="AK42" s="179">
        <f t="shared" si="11"/>
        <v>5.2996429148069414E-3</v>
      </c>
      <c r="AL42" s="113">
        <f t="shared" si="12"/>
        <v>5.29409413899998E-3</v>
      </c>
      <c r="AM42" s="262">
        <f>'Op Cost - Performance'!C32/'Ridership'!C32</f>
        <v>15.502006353966314</v>
      </c>
      <c r="AN42" s="263">
        <f>'Op Cost - Performance'!D32/'Ridership'!D32</f>
        <v>15.471662765844025</v>
      </c>
      <c r="AO42" s="263">
        <f>'Op Cost - Performance'!E32/'Ridership'!E32</f>
        <v>15.832817599533488</v>
      </c>
      <c r="AP42" s="263">
        <f>'Op Cost - Performance'!F32/'Ridership'!F32</f>
        <v>15.392611914712232</v>
      </c>
      <c r="AQ42" s="264">
        <f t="shared" si="13"/>
        <v>1.0345062378450651</v>
      </c>
      <c r="AR42" s="179">
        <f t="shared" si="14"/>
        <v>5.2687675659509542E-3</v>
      </c>
      <c r="AS42" s="115">
        <f t="shared" si="15"/>
        <v>5.2504205030360377E-3</v>
      </c>
      <c r="AT42" s="111"/>
      <c r="AU42" s="116">
        <f t="shared" si="16"/>
        <v>1.0767884583874267E-3</v>
      </c>
      <c r="AV42" s="180">
        <f t="shared" si="17"/>
        <v>1.0697846865533179E-3</v>
      </c>
      <c r="AW42" s="180">
        <f t="shared" si="18"/>
        <v>1.0515641870126533E-3</v>
      </c>
      <c r="AX42" s="180">
        <f t="shared" si="19"/>
        <v>1.0588188277999961E-3</v>
      </c>
      <c r="AY42" s="117">
        <f t="shared" si="20"/>
        <v>1.0500841006072076E-3</v>
      </c>
      <c r="AZ42" s="111"/>
      <c r="BA42" s="118">
        <f t="shared" si="21"/>
        <v>149458.44046040499</v>
      </c>
      <c r="BB42" s="181">
        <f t="shared" si="22"/>
        <v>148486.31561312161</v>
      </c>
      <c r="BC42" s="181">
        <f t="shared" si="23"/>
        <v>145957.30685142343</v>
      </c>
      <c r="BD42" s="181">
        <f t="shared" si="24"/>
        <v>146964.25235657909</v>
      </c>
      <c r="BE42" s="181">
        <f t="shared" si="25"/>
        <v>145751.87058009134</v>
      </c>
      <c r="BF42" s="119">
        <f t="shared" si="26"/>
        <v>736618.18586162047</v>
      </c>
      <c r="BH42" s="257">
        <f>'Op Cost - Performance'!F32</f>
        <v>3322249</v>
      </c>
      <c r="BI42" s="182">
        <f t="shared" si="27"/>
        <v>0.2217227504204593</v>
      </c>
      <c r="BJ42" s="183">
        <f t="shared" si="28"/>
        <v>736618.18586162047</v>
      </c>
      <c r="BK42" s="138">
        <f t="shared" si="29"/>
        <v>0</v>
      </c>
      <c r="BM42" s="52">
        <f t="shared" si="30"/>
        <v>736618.18586162047</v>
      </c>
      <c r="BN42" s="184">
        <f t="shared" si="31"/>
        <v>6.0838171632754193E-3</v>
      </c>
      <c r="BO42" s="259">
        <f t="shared" si="32"/>
        <v>9958.1917230508243</v>
      </c>
      <c r="BP42" s="259">
        <f t="shared" si="46"/>
        <v>746576.37758467125</v>
      </c>
      <c r="BQ42" s="185">
        <f t="shared" si="47"/>
        <v>0.22472017527424082</v>
      </c>
      <c r="BR42" s="142">
        <f t="shared" si="33"/>
        <v>0</v>
      </c>
      <c r="BS42" s="11"/>
      <c r="BT42" s="256">
        <f t="shared" si="34"/>
        <v>3322249</v>
      </c>
      <c r="BU42" s="186">
        <f t="shared" si="48"/>
        <v>0.22472017527424082</v>
      </c>
      <c r="BV42" s="187">
        <f t="shared" si="35"/>
        <v>746576.37758467125</v>
      </c>
      <c r="BW42" s="143">
        <f t="shared" si="36"/>
        <v>0</v>
      </c>
      <c r="BY42" s="52">
        <f t="shared" si="49"/>
        <v>746576.37758467125</v>
      </c>
      <c r="BZ42" s="188">
        <f t="shared" si="37"/>
        <v>6.0838171632754201E-3</v>
      </c>
      <c r="CA42" s="189">
        <f t="shared" si="38"/>
        <v>0</v>
      </c>
      <c r="CB42" s="147">
        <f t="shared" si="50"/>
        <v>746576.37758467125</v>
      </c>
      <c r="CC42" s="190">
        <f t="shared" si="51"/>
        <v>0.22472017527424082</v>
      </c>
      <c r="CD42" s="148">
        <f t="shared" si="39"/>
        <v>0</v>
      </c>
      <c r="CE42" s="97"/>
      <c r="CF42" s="154">
        <f t="shared" si="40"/>
        <v>996674.7</v>
      </c>
      <c r="CG42" s="189">
        <f t="shared" si="41"/>
        <v>0</v>
      </c>
      <c r="CH42" s="266">
        <f t="shared" si="42"/>
        <v>746576.37758467125</v>
      </c>
      <c r="CI42" s="155">
        <f t="shared" si="43"/>
        <v>0.22472017527424082</v>
      </c>
      <c r="CJ42" s="275">
        <v>618200.54053036741</v>
      </c>
      <c r="CK42" s="276">
        <f t="shared" si="44"/>
        <v>0.20766050599724079</v>
      </c>
      <c r="CL42" s="277">
        <f t="shared" si="52"/>
        <v>2.2883250544043863</v>
      </c>
      <c r="CM42" s="278">
        <f>'Ridership'!P32</f>
        <v>1.5011145493364434E-2</v>
      </c>
      <c r="CN42" s="277">
        <f t="shared" si="53"/>
        <v>0</v>
      </c>
      <c r="CO42" s="279"/>
    </row>
    <row r="43" spans="1:93">
      <c r="A43" s="71" t="s">
        <v>227</v>
      </c>
      <c r="B43" s="240" t="s">
        <v>28</v>
      </c>
      <c r="C43" s="27"/>
      <c r="D43" s="70">
        <f>'Op Cost - Performance'!F33</f>
        <v>7574503</v>
      </c>
      <c r="E43" s="175">
        <f>'Ridership'!$F33</f>
        <v>1957345</v>
      </c>
      <c r="F43" s="175">
        <f>'Revenue Hours - Sizing'!F33</f>
        <v>78270</v>
      </c>
      <c r="G43" s="175">
        <f>'Revenue Miles - Sizing'!F33</f>
        <v>793294</v>
      </c>
      <c r="H43" s="191">
        <f t="shared" si="45"/>
        <v>1.8607556807361321E-2</v>
      </c>
      <c r="I43" s="110">
        <f t="shared" si="0"/>
        <v>1.8607556807361321E-2</v>
      </c>
      <c r="J43" s="111"/>
      <c r="K43" s="112">
        <f>'Ridership'!C33/'Revenue Hours'!B33</f>
        <v>18.24961092626382</v>
      </c>
      <c r="L43" s="177">
        <f>'Ridership'!D33/'Revenue Hours'!C33</f>
        <v>21.145138445302301</v>
      </c>
      <c r="M43" s="177">
        <f>'Ridership'!E33/'Revenue Hours'!D33</f>
        <v>24.501083352912001</v>
      </c>
      <c r="N43" s="177">
        <f>'Ridership'!F33/'Revenue Hours'!E33</f>
        <v>25.007601890890506</v>
      </c>
      <c r="O43" s="178">
        <f t="shared" si="1"/>
        <v>1.0066550439989388</v>
      </c>
      <c r="P43" s="179">
        <f t="shared" si="2"/>
        <v>1.8731390916627063E-2</v>
      </c>
      <c r="Q43" s="113">
        <f t="shared" si="3"/>
        <v>1.8544505321518603E-2</v>
      </c>
      <c r="R43" s="114">
        <f>'Ridership'!C33/'Revenue Miles'!C33</f>
        <v>1.8049204125068334</v>
      </c>
      <c r="S43" s="177">
        <f>'Ridership'!D33/'Revenue Miles'!D33</f>
        <v>2.1042721223804488</v>
      </c>
      <c r="T43" s="177">
        <f>'Ridership'!E33/'Revenue Miles'!E33</f>
        <v>2.4420853514636569</v>
      </c>
      <c r="U43" s="177">
        <f>'Ridership'!F33/'Revenue Miles'!F33</f>
        <v>2.4673639281275288</v>
      </c>
      <c r="V43" s="178">
        <f t="shared" si="4"/>
        <v>1.0030931223112431</v>
      </c>
      <c r="W43" s="179">
        <f t="shared" si="5"/>
        <v>1.8665112256479894E-2</v>
      </c>
      <c r="X43" s="113">
        <f t="shared" si="6"/>
        <v>1.8446775611765307E-2</v>
      </c>
      <c r="Y43" s="262">
        <f>'Op Cost - Performance'!C33/'Revenue Hours'!B33</f>
        <v>79.970349898035849</v>
      </c>
      <c r="Z43" s="263">
        <f>'Op Cost - Performance'!D33/'Revenue Hours'!C33</f>
        <v>91.352487016413477</v>
      </c>
      <c r="AA43" s="263">
        <f>'Op Cost - Performance'!E33/'Revenue Hours'!D33</f>
        <v>97.052784086459397</v>
      </c>
      <c r="AB43" s="263">
        <f>'Op Cost - Performance'!F33/'Revenue Hours'!E33</f>
        <v>96.774025808100163</v>
      </c>
      <c r="AC43" s="178">
        <f t="shared" si="7"/>
        <v>1.0001901776891293</v>
      </c>
      <c r="AD43" s="179">
        <f t="shared" si="8"/>
        <v>1.8604018738069196E-2</v>
      </c>
      <c r="AE43" s="113">
        <f t="shared" si="9"/>
        <v>1.8549163225953409E-2</v>
      </c>
      <c r="AF43" s="262">
        <f>'Op Cost - Performance'!C33/'Revenue Miles'!C33</f>
        <v>7.9092161202490328</v>
      </c>
      <c r="AG43" s="263">
        <f>'Op Cost - Performance'!D33/'Revenue Miles'!D33</f>
        <v>9.0910018033704372</v>
      </c>
      <c r="AH43" s="263">
        <f>'Op Cost - Performance'!E33/'Revenue Miles'!E33</f>
        <v>9.6734980622045992</v>
      </c>
      <c r="AI43" s="263">
        <f>'Op Cost - Performance'!F33/'Revenue Miles'!F33</f>
        <v>9.5481662536209786</v>
      </c>
      <c r="AJ43" s="178">
        <f t="shared" si="10"/>
        <v>0.99682537064047783</v>
      </c>
      <c r="AK43" s="179">
        <f t="shared" si="11"/>
        <v>1.8666817032762358E-2</v>
      </c>
      <c r="AL43" s="113">
        <f t="shared" si="12"/>
        <v>1.8647272700359322E-2</v>
      </c>
      <c r="AM43" s="262">
        <f>'Op Cost - Performance'!C33/'Ridership'!C33</f>
        <v>4.3820304016973317</v>
      </c>
      <c r="AN43" s="263">
        <f>'Op Cost - Performance'!D33/'Ridership'!D33</f>
        <v>4.3202595836731801</v>
      </c>
      <c r="AO43" s="263">
        <f>'Op Cost - Performance'!E33/'Ridership'!E33</f>
        <v>3.9611629693478223</v>
      </c>
      <c r="AP43" s="263">
        <f>'Op Cost - Performance'!F33/'Ridership'!F33</f>
        <v>3.8697843251956092</v>
      </c>
      <c r="AQ43" s="264">
        <f t="shared" si="13"/>
        <v>0.99500467227769895</v>
      </c>
      <c r="AR43" s="179">
        <f t="shared" si="14"/>
        <v>1.8700974302729788E-2</v>
      </c>
      <c r="AS43" s="115">
        <f t="shared" si="15"/>
        <v>1.8635853200345286E-2</v>
      </c>
      <c r="AT43" s="111"/>
      <c r="AU43" s="116">
        <f t="shared" si="16"/>
        <v>3.7089010643037209E-3</v>
      </c>
      <c r="AV43" s="180">
        <f t="shared" si="17"/>
        <v>3.6893551223530618E-3</v>
      </c>
      <c r="AW43" s="180">
        <f t="shared" si="18"/>
        <v>3.7098326451906818E-3</v>
      </c>
      <c r="AX43" s="180">
        <f t="shared" si="19"/>
        <v>3.7294545400718645E-3</v>
      </c>
      <c r="AY43" s="117">
        <f t="shared" si="20"/>
        <v>3.7271706400690574E-3</v>
      </c>
      <c r="AZ43" s="111"/>
      <c r="BA43" s="118">
        <f t="shared" si="21"/>
        <v>514796.16499875655</v>
      </c>
      <c r="BB43" s="181">
        <f t="shared" si="22"/>
        <v>512083.184581368</v>
      </c>
      <c r="BC43" s="181">
        <f t="shared" si="23"/>
        <v>514925.46860100393</v>
      </c>
      <c r="BD43" s="181">
        <f t="shared" si="24"/>
        <v>517648.99129942834</v>
      </c>
      <c r="BE43" s="181">
        <f t="shared" si="25"/>
        <v>517331.98554966552</v>
      </c>
      <c r="BF43" s="119">
        <f t="shared" si="26"/>
        <v>2576785.7950302223</v>
      </c>
      <c r="BH43" s="257">
        <f>'Op Cost - Performance'!F33</f>
        <v>7574503</v>
      </c>
      <c r="BI43" s="182">
        <f t="shared" si="27"/>
        <v>0.34019206211024305</v>
      </c>
      <c r="BJ43" s="183">
        <f t="shared" si="28"/>
        <v>2272350.9</v>
      </c>
      <c r="BK43" s="138">
        <f t="shared" si="29"/>
        <v>304434.89503022237</v>
      </c>
      <c r="BM43" s="52">
        <f t="shared" si="30"/>
        <v>0</v>
      </c>
      <c r="BN43" s="184">
        <f t="shared" si="31"/>
        <v>0</v>
      </c>
      <c r="BO43" s="259">
        <f t="shared" si="32"/>
        <v>0</v>
      </c>
      <c r="BP43" s="259">
        <f t="shared" si="46"/>
        <v>2272350.9</v>
      </c>
      <c r="BQ43" s="185">
        <f t="shared" si="47"/>
        <v>0.3</v>
      </c>
      <c r="BR43" s="142">
        <f t="shared" si="33"/>
        <v>0</v>
      </c>
      <c r="BS43" s="11"/>
      <c r="BT43" s="256">
        <f t="shared" si="34"/>
        <v>7574503</v>
      </c>
      <c r="BU43" s="186">
        <f t="shared" si="48"/>
        <v>0.3</v>
      </c>
      <c r="BV43" s="187">
        <f t="shared" si="35"/>
        <v>2272350.9</v>
      </c>
      <c r="BW43" s="143">
        <f t="shared" si="36"/>
        <v>0</v>
      </c>
      <c r="BY43" s="52">
        <f t="shared" si="49"/>
        <v>0</v>
      </c>
      <c r="BZ43" s="188">
        <f t="shared" si="37"/>
        <v>0</v>
      </c>
      <c r="CA43" s="189">
        <f t="shared" si="38"/>
        <v>0</v>
      </c>
      <c r="CB43" s="147">
        <f t="shared" si="50"/>
        <v>2272350.9</v>
      </c>
      <c r="CC43" s="190">
        <f t="shared" si="51"/>
        <v>0.3</v>
      </c>
      <c r="CD43" s="148">
        <f t="shared" si="39"/>
        <v>0</v>
      </c>
      <c r="CE43" s="97"/>
      <c r="CF43" s="154">
        <f t="shared" si="40"/>
        <v>2272350.9</v>
      </c>
      <c r="CG43" s="189">
        <f t="shared" si="41"/>
        <v>0</v>
      </c>
      <c r="CH43" s="266">
        <f t="shared" si="42"/>
        <v>2272350.9</v>
      </c>
      <c r="CI43" s="155">
        <f t="shared" si="43"/>
        <v>0.3</v>
      </c>
      <c r="CJ43" s="275">
        <v>2230680.6</v>
      </c>
      <c r="CK43" s="276">
        <f t="shared" si="44"/>
        <v>1.8680531852027497E-2</v>
      </c>
      <c r="CL43" s="277">
        <f t="shared" si="52"/>
        <v>0.20585103008061478</v>
      </c>
      <c r="CM43" s="278">
        <f>'Ridership'!P33</f>
        <v>4.2735010862350209E-2</v>
      </c>
      <c r="CN43" s="277">
        <f t="shared" si="53"/>
        <v>0</v>
      </c>
      <c r="CO43" s="279"/>
    </row>
    <row r="44" spans="1:93">
      <c r="A44" s="71" t="s">
        <v>227</v>
      </c>
      <c r="B44" s="240" t="s">
        <v>32</v>
      </c>
      <c r="C44" s="27"/>
      <c r="D44" s="70">
        <f>'Op Cost - Performance'!F34</f>
        <v>2625519</v>
      </c>
      <c r="E44" s="175">
        <f>'Ridership'!$F34</f>
        <v>106471</v>
      </c>
      <c r="F44" s="175">
        <f>'Revenue Hours - Sizing'!F34</f>
        <v>27972</v>
      </c>
      <c r="G44" s="175">
        <f>'Revenue Miles - Sizing'!F34</f>
        <v>388329</v>
      </c>
      <c r="H44" s="176">
        <f t="shared" si="45"/>
        <v>3.7083657700875826E-3</v>
      </c>
      <c r="I44" s="110">
        <f t="shared" si="0"/>
        <v>3.7083657700875826E-3</v>
      </c>
      <c r="J44" s="111"/>
      <c r="K44" s="112">
        <f>'Ridership'!C34/'Revenue Hours'!B34</f>
        <v>7.7540727902946278</v>
      </c>
      <c r="L44" s="177">
        <f>'Ridership'!D34/'Revenue Hours'!C34</f>
        <v>8.9334289529650324</v>
      </c>
      <c r="M44" s="177">
        <f>'Ridership'!E34/'Revenue Hours'!D34</f>
        <v>7.1753205635586514</v>
      </c>
      <c r="N44" s="177">
        <f>'Ridership'!F34/'Revenue Hours'!E34</f>
        <v>3.8063420563420562</v>
      </c>
      <c r="O44" s="178">
        <f t="shared" si="1"/>
        <v>0.74052799413749115</v>
      </c>
      <c r="P44" s="179">
        <f t="shared" si="2"/>
        <v>2.7461486652510902E-3</v>
      </c>
      <c r="Q44" s="113">
        <f t="shared" si="3"/>
        <v>2.7187499723378911E-3</v>
      </c>
      <c r="R44" s="114">
        <f>'Ridership'!C34/'Revenue Miles'!C34</f>
        <v>0.72460145651246777</v>
      </c>
      <c r="S44" s="177">
        <f>'Ridership'!D34/'Revenue Miles'!D34</f>
        <v>0.79643813026090104</v>
      </c>
      <c r="T44" s="177">
        <f>'Ridership'!E34/'Revenue Miles'!E34</f>
        <v>0.54734547737934947</v>
      </c>
      <c r="U44" s="177">
        <f>'Ridership'!F34/'Revenue Miles'!F34</f>
        <v>0.2741773084163171</v>
      </c>
      <c r="V44" s="178">
        <f t="shared" si="4"/>
        <v>0.67815728682211629</v>
      </c>
      <c r="W44" s="179">
        <f t="shared" si="5"/>
        <v>2.514855269186603E-3</v>
      </c>
      <c r="X44" s="113">
        <f t="shared" si="6"/>
        <v>2.4854375483675715E-3</v>
      </c>
      <c r="Y44" s="262">
        <f>'Op Cost - Performance'!C34/'Revenue Hours'!B34</f>
        <v>82.248006932409012</v>
      </c>
      <c r="Z44" s="263">
        <f>'Op Cost - Performance'!D34/'Revenue Hours'!C34</f>
        <v>95.121865571986746</v>
      </c>
      <c r="AA44" s="263">
        <f>'Op Cost - Performance'!E34/'Revenue Hours'!D34</f>
        <v>94.216123159727715</v>
      </c>
      <c r="AB44" s="263">
        <f>'Op Cost - Performance'!F34/'Revenue Hours'!E34</f>
        <v>93.862398112398111</v>
      </c>
      <c r="AC44" s="178">
        <f t="shared" si="7"/>
        <v>0.98115526903303074</v>
      </c>
      <c r="AD44" s="179">
        <f t="shared" si="8"/>
        <v>3.7795911484451703E-3</v>
      </c>
      <c r="AE44" s="113">
        <f t="shared" si="9"/>
        <v>3.7684467064321124E-3</v>
      </c>
      <c r="AF44" s="262">
        <f>'Op Cost - Performance'!C34/'Revenue Miles'!C34</f>
        <v>7.6858996852680619</v>
      </c>
      <c r="AG44" s="263">
        <f>'Op Cost - Performance'!D34/'Revenue Miles'!D34</f>
        <v>8.480358568020776</v>
      </c>
      <c r="AH44" s="263">
        <f>'Op Cost - Performance'!E34/'Revenue Miles'!E34</f>
        <v>7.1869637671096402</v>
      </c>
      <c r="AI44" s="263">
        <f>'Op Cost - Performance'!F34/'Revenue Miles'!F34</f>
        <v>6.7610685784476567</v>
      </c>
      <c r="AJ44" s="178">
        <f t="shared" si="10"/>
        <v>0.89908921173622758</v>
      </c>
      <c r="AK44" s="179">
        <f t="shared" si="11"/>
        <v>4.1245804328208686E-3</v>
      </c>
      <c r="AL44" s="113">
        <f t="shared" si="12"/>
        <v>4.120261958446763E-3</v>
      </c>
      <c r="AM44" s="262">
        <f>'Op Cost - Performance'!C34/'Ridership'!C34</f>
        <v>10.607071813325586</v>
      </c>
      <c r="AN44" s="263">
        <f>'Op Cost - Performance'!D34/'Ridership'!D34</f>
        <v>10.647856055363322</v>
      </c>
      <c r="AO44" s="263">
        <f>'Op Cost - Performance'!E34/'Ridership'!E34</f>
        <v>13.13058034483139</v>
      </c>
      <c r="AP44" s="263">
        <f>'Op Cost - Performance'!F34/'Ridership'!F34</f>
        <v>24.659475350095331</v>
      </c>
      <c r="AQ44" s="264">
        <f t="shared" si="13"/>
        <v>1.4079462543832049</v>
      </c>
      <c r="AR44" s="179">
        <f t="shared" si="14"/>
        <v>2.6338830467020555E-3</v>
      </c>
      <c r="AS44" s="115">
        <f t="shared" si="15"/>
        <v>2.6247112589237015E-3</v>
      </c>
      <c r="AT44" s="111"/>
      <c r="AU44" s="116">
        <f t="shared" si="16"/>
        <v>5.4374999446757822E-4</v>
      </c>
      <c r="AV44" s="180">
        <f t="shared" si="17"/>
        <v>4.9708750967351434E-4</v>
      </c>
      <c r="AW44" s="180">
        <f t="shared" si="18"/>
        <v>7.536893412864225E-4</v>
      </c>
      <c r="AX44" s="180">
        <f t="shared" si="19"/>
        <v>8.2405239168935264E-4</v>
      </c>
      <c r="AY44" s="117">
        <f t="shared" si="20"/>
        <v>5.2494225178474033E-4</v>
      </c>
      <c r="AZ44" s="111"/>
      <c r="BA44" s="118">
        <f t="shared" si="21"/>
        <v>75472.601457098819</v>
      </c>
      <c r="BB44" s="181">
        <f t="shared" si="22"/>
        <v>68995.839795135602</v>
      </c>
      <c r="BC44" s="181">
        <f t="shared" si="23"/>
        <v>104612.2222641516</v>
      </c>
      <c r="BD44" s="181">
        <f t="shared" si="24"/>
        <v>114378.62688833178</v>
      </c>
      <c r="BE44" s="181">
        <f t="shared" si="25"/>
        <v>72862.083236865292</v>
      </c>
      <c r="BF44" s="119">
        <f t="shared" si="26"/>
        <v>436321.37364158308</v>
      </c>
      <c r="BH44" s="257">
        <f>'Op Cost - Performance'!F34</f>
        <v>2625519</v>
      </c>
      <c r="BI44" s="182">
        <f t="shared" si="27"/>
        <v>0.16618480903835892</v>
      </c>
      <c r="BJ44" s="183">
        <f t="shared" si="28"/>
        <v>436321.37364158308</v>
      </c>
      <c r="BK44" s="138">
        <f t="shared" si="29"/>
        <v>0</v>
      </c>
      <c r="BM44" s="52">
        <f t="shared" si="30"/>
        <v>436321.37364158308</v>
      </c>
      <c r="BN44" s="184">
        <f t="shared" si="31"/>
        <v>3.6036300930577876E-3</v>
      </c>
      <c r="BO44" s="259">
        <f t="shared" si="32"/>
        <v>5898.5400781348826</v>
      </c>
      <c r="BP44" s="259">
        <f t="shared" si="46"/>
        <v>442219.91371971794</v>
      </c>
      <c r="BQ44" s="185">
        <f t="shared" si="47"/>
        <v>0.16843142773665623</v>
      </c>
      <c r="BR44" s="142">
        <f t="shared" si="33"/>
        <v>0</v>
      </c>
      <c r="BS44" s="11"/>
      <c r="BT44" s="256">
        <f t="shared" si="34"/>
        <v>2625519</v>
      </c>
      <c r="BU44" s="186">
        <f t="shared" si="48"/>
        <v>0.16843142773665623</v>
      </c>
      <c r="BV44" s="187">
        <f t="shared" si="35"/>
        <v>442219.91371971794</v>
      </c>
      <c r="BW44" s="143">
        <f t="shared" si="36"/>
        <v>0</v>
      </c>
      <c r="BY44" s="52">
        <f t="shared" si="49"/>
        <v>442219.91371971794</v>
      </c>
      <c r="BZ44" s="188">
        <f t="shared" si="37"/>
        <v>3.6036300930577885E-3</v>
      </c>
      <c r="CA44" s="189">
        <f t="shared" si="38"/>
        <v>0</v>
      </c>
      <c r="CB44" s="147">
        <f t="shared" si="50"/>
        <v>442219.91371971794</v>
      </c>
      <c r="CC44" s="190">
        <f t="shared" si="51"/>
        <v>0.16843142773665623</v>
      </c>
      <c r="CD44" s="148">
        <f t="shared" si="39"/>
        <v>0</v>
      </c>
      <c r="CE44" s="97"/>
      <c r="CF44" s="154">
        <f t="shared" si="40"/>
        <v>787655.7</v>
      </c>
      <c r="CG44" s="189">
        <f t="shared" si="41"/>
        <v>0</v>
      </c>
      <c r="CH44" s="266">
        <f t="shared" si="42"/>
        <v>442219.91371971794</v>
      </c>
      <c r="CI44" s="155">
        <f t="shared" si="43"/>
        <v>0.16843142773665623</v>
      </c>
      <c r="CJ44" s="275">
        <v>513663.07295802294</v>
      </c>
      <c r="CK44" s="276">
        <f t="shared" si="44"/>
        <v>-0.1390856438771946</v>
      </c>
      <c r="CL44" s="277">
        <f t="shared" si="52"/>
        <v>-1.5326610231623889</v>
      </c>
      <c r="CM44" s="278">
        <f>'Ridership'!P34</f>
        <v>-0.41275523148709914</v>
      </c>
      <c r="CN44" s="277">
        <f t="shared" si="53"/>
        <v>0.33696882139104223</v>
      </c>
      <c r="CO44" s="279"/>
    </row>
    <row r="45" spans="1:93">
      <c r="A45" s="71" t="s">
        <v>228</v>
      </c>
      <c r="B45" s="240" t="s">
        <v>24</v>
      </c>
      <c r="C45" s="27"/>
      <c r="D45" s="70">
        <f>'Op Cost - Performance'!F35</f>
        <v>5545950</v>
      </c>
      <c r="E45" s="175">
        <f>'Ridership'!$F35</f>
        <v>128678</v>
      </c>
      <c r="F45" s="175">
        <f>'Revenue Hours - Sizing'!F35</f>
        <v>59749</v>
      </c>
      <c r="G45" s="175">
        <f>'Revenue Miles - Sizing'!F35</f>
        <v>1316507</v>
      </c>
      <c r="H45" s="191">
        <f t="shared" si="45"/>
        <v>8.0789277580430759E-3</v>
      </c>
      <c r="I45" s="110">
        <f t="shared" si="0"/>
        <v>8.0789277580430759E-3</v>
      </c>
      <c r="J45" s="111"/>
      <c r="K45" s="112">
        <f>'Ridership'!C35/'Revenue Hours'!B35</f>
        <v>2.0984220777077214</v>
      </c>
      <c r="L45" s="177">
        <f>'Ridership'!D35/'Revenue Hours'!C35</f>
        <v>2.1059981833517161</v>
      </c>
      <c r="M45" s="177">
        <f>'Ridership'!E35/'Revenue Hours'!D35</f>
        <v>2.1272968662976006</v>
      </c>
      <c r="N45" s="177">
        <f>'Ridership'!F35/'Revenue Hours'!E35</f>
        <v>2.1536427387906074</v>
      </c>
      <c r="O45" s="178">
        <f t="shared" si="1"/>
        <v>0.91420373424702284</v>
      </c>
      <c r="P45" s="179">
        <f t="shared" si="2"/>
        <v>7.385785925114908E-3</v>
      </c>
      <c r="Q45" s="113">
        <f t="shared" si="3"/>
        <v>7.312096950062151E-3</v>
      </c>
      <c r="R45" s="114">
        <f>'Ridership'!C35/'Revenue Miles'!C35</f>
        <v>9.06701755136681E-2</v>
      </c>
      <c r="S45" s="177">
        <f>'Ridership'!D35/'Revenue Miles'!D35</f>
        <v>9.3205239748349655E-2</v>
      </c>
      <c r="T45" s="177">
        <f>'Ridership'!E35/'Revenue Miles'!E35</f>
        <v>9.4272498845623817E-2</v>
      </c>
      <c r="U45" s="177">
        <f>'Ridership'!F35/'Revenue Miles'!F35</f>
        <v>9.7741979343824226E-2</v>
      </c>
      <c r="V45" s="178">
        <f t="shared" si="4"/>
        <v>0.92650649096019178</v>
      </c>
      <c r="W45" s="179">
        <f t="shared" si="5"/>
        <v>7.4851790078253799E-3</v>
      </c>
      <c r="X45" s="113">
        <f t="shared" si="6"/>
        <v>7.3976205272119405E-3</v>
      </c>
      <c r="Y45" s="262">
        <f>'Op Cost - Performance'!C35/'Revenue Hours'!B35</f>
        <v>76.546396857359781</v>
      </c>
      <c r="Z45" s="263">
        <f>'Op Cost - Performance'!D35/'Revenue Hours'!C35</f>
        <v>81.113410757153048</v>
      </c>
      <c r="AA45" s="263">
        <f>'Op Cost - Performance'!E35/'Revenue Hours'!D35</f>
        <v>94.049687647411616</v>
      </c>
      <c r="AB45" s="263">
        <f>'Op Cost - Performance'!F35/'Revenue Hours'!E35</f>
        <v>92.820800348122987</v>
      </c>
      <c r="AC45" s="178">
        <f t="shared" si="7"/>
        <v>1.0029388819461427</v>
      </c>
      <c r="AD45" s="179">
        <f t="shared" si="8"/>
        <v>8.0552543165605481E-3</v>
      </c>
      <c r="AE45" s="113">
        <f t="shared" si="9"/>
        <v>8.0315027225109446E-3</v>
      </c>
      <c r="AF45" s="262">
        <f>'Op Cost - Performance'!C35/'Revenue Miles'!C35</f>
        <v>3.3074734162048824</v>
      </c>
      <c r="AG45" s="263">
        <f>'Op Cost - Performance'!D35/'Revenue Miles'!D35</f>
        <v>3.5898392297730726</v>
      </c>
      <c r="AH45" s="263">
        <f>'Op Cost - Performance'!E35/'Revenue Miles'!E35</f>
        <v>4.1678710717996852</v>
      </c>
      <c r="AI45" s="263">
        <f>'Op Cost - Performance'!F35/'Revenue Miles'!F35</f>
        <v>4.2126247714596277</v>
      </c>
      <c r="AJ45" s="178">
        <f t="shared" si="10"/>
        <v>1.0157232167720323</v>
      </c>
      <c r="AK45" s="179">
        <f t="shared" si="11"/>
        <v>7.9538673770969837E-3</v>
      </c>
      <c r="AL45" s="113">
        <f t="shared" si="12"/>
        <v>7.945539603399155E-3</v>
      </c>
      <c r="AM45" s="262">
        <f>'Op Cost - Performance'!C35/'Ridership'!C35</f>
        <v>36.47807448774924</v>
      </c>
      <c r="AN45" s="263">
        <f>'Op Cost - Performance'!D35/'Ridership'!D35</f>
        <v>38.515422946880371</v>
      </c>
      <c r="AO45" s="263">
        <f>'Op Cost - Performance'!E35/'Ridership'!E35</f>
        <v>44.210889950257851</v>
      </c>
      <c r="AP45" s="263">
        <f>'Op Cost - Performance'!F35/'Ridership'!F35</f>
        <v>43.099442018060586</v>
      </c>
      <c r="AQ45" s="264">
        <f t="shared" si="13"/>
        <v>1.0991947092310588</v>
      </c>
      <c r="AR45" s="179">
        <f t="shared" si="14"/>
        <v>7.3498604844037928E-3</v>
      </c>
      <c r="AS45" s="115">
        <f t="shared" si="15"/>
        <v>7.3242665763341586E-3</v>
      </c>
      <c r="AT45" s="111"/>
      <c r="AU45" s="116">
        <f t="shared" si="16"/>
        <v>1.4624193900124303E-3</v>
      </c>
      <c r="AV45" s="180">
        <f t="shared" si="17"/>
        <v>1.4795241054423882E-3</v>
      </c>
      <c r="AW45" s="180">
        <f t="shared" si="18"/>
        <v>1.606300544502189E-3</v>
      </c>
      <c r="AX45" s="180">
        <f t="shared" si="19"/>
        <v>1.5891079206798312E-3</v>
      </c>
      <c r="AY45" s="117">
        <f t="shared" si="20"/>
        <v>1.4648533152668319E-3</v>
      </c>
      <c r="AZ45" s="111"/>
      <c r="BA45" s="118">
        <f t="shared" si="21"/>
        <v>202984.08626857065</v>
      </c>
      <c r="BB45" s="181">
        <f t="shared" si="22"/>
        <v>205358.2239859353</v>
      </c>
      <c r="BC45" s="181">
        <f t="shared" si="23"/>
        <v>222954.81756140621</v>
      </c>
      <c r="BD45" s="181">
        <f t="shared" si="24"/>
        <v>220568.47814264966</v>
      </c>
      <c r="BE45" s="181">
        <f t="shared" si="25"/>
        <v>203321.91555145953</v>
      </c>
      <c r="BF45" s="119">
        <f t="shared" si="26"/>
        <v>1055187.5215100213</v>
      </c>
      <c r="BH45" s="257">
        <f>'Op Cost - Performance'!F35</f>
        <v>5545950</v>
      </c>
      <c r="BI45" s="182">
        <f t="shared" si="27"/>
        <v>0.19026271811141848</v>
      </c>
      <c r="BJ45" s="183">
        <f t="shared" si="28"/>
        <v>1055187.5215100213</v>
      </c>
      <c r="BK45" s="138">
        <f t="shared" si="29"/>
        <v>0</v>
      </c>
      <c r="BM45" s="52">
        <f t="shared" si="30"/>
        <v>1055187.5215100213</v>
      </c>
      <c r="BN45" s="184">
        <f t="shared" si="31"/>
        <v>8.714919176652916E-3</v>
      </c>
      <c r="BO45" s="259">
        <f t="shared" si="32"/>
        <v>14264.865902919173</v>
      </c>
      <c r="BP45" s="259">
        <f t="shared" si="46"/>
        <v>1069452.3874129404</v>
      </c>
      <c r="BQ45" s="185">
        <f t="shared" si="47"/>
        <v>0.19283484117472036</v>
      </c>
      <c r="BR45" s="142">
        <f t="shared" si="33"/>
        <v>0</v>
      </c>
      <c r="BS45" s="11"/>
      <c r="BT45" s="256">
        <f t="shared" si="34"/>
        <v>5545950</v>
      </c>
      <c r="BU45" s="186">
        <f t="shared" si="48"/>
        <v>0.19283484117472036</v>
      </c>
      <c r="BV45" s="187">
        <f t="shared" si="35"/>
        <v>1069452.3874129404</v>
      </c>
      <c r="BW45" s="143">
        <f t="shared" si="36"/>
        <v>0</v>
      </c>
      <c r="BY45" s="52">
        <f t="shared" si="49"/>
        <v>1069452.3874129404</v>
      </c>
      <c r="BZ45" s="188">
        <f t="shared" si="37"/>
        <v>8.7149191766529178E-3</v>
      </c>
      <c r="CA45" s="189">
        <f t="shared" si="38"/>
        <v>0</v>
      </c>
      <c r="CB45" s="147">
        <f t="shared" si="50"/>
        <v>1069452.3874129404</v>
      </c>
      <c r="CC45" s="190">
        <f t="shared" si="51"/>
        <v>0.19283484117472036</v>
      </c>
      <c r="CD45" s="148">
        <f t="shared" si="39"/>
        <v>0</v>
      </c>
      <c r="CE45" s="97"/>
      <c r="CF45" s="154">
        <f t="shared" si="40"/>
        <v>1663785</v>
      </c>
      <c r="CG45" s="189">
        <f t="shared" si="41"/>
        <v>0</v>
      </c>
      <c r="CH45" s="266">
        <f t="shared" si="42"/>
        <v>1069452.3874129404</v>
      </c>
      <c r="CI45" s="155">
        <f t="shared" si="43"/>
        <v>0.19283484117472036</v>
      </c>
      <c r="CJ45" s="275">
        <v>1001821.9709905545</v>
      </c>
      <c r="CK45" s="276">
        <f t="shared" si="44"/>
        <v>6.7507419861750545E-2</v>
      </c>
      <c r="CL45" s="277">
        <f t="shared" si="52"/>
        <v>0.74390129931539639</v>
      </c>
      <c r="CM45" s="278">
        <f>'Ridership'!P35</f>
        <v>-1.9797832065022815E-2</v>
      </c>
      <c r="CN45" s="277">
        <f t="shared" si="53"/>
        <v>0</v>
      </c>
      <c r="CO45" s="279"/>
    </row>
    <row r="46" spans="1:93">
      <c r="A46" s="71" t="s">
        <v>228</v>
      </c>
      <c r="B46" s="240" t="s">
        <v>57</v>
      </c>
      <c r="C46" s="27"/>
      <c r="D46" s="70">
        <f>'Op Cost - Performance'!F36</f>
        <v>537911</v>
      </c>
      <c r="E46" s="175">
        <f>'Ridership'!$F36</f>
        <v>28279</v>
      </c>
      <c r="F46" s="175">
        <f>'Revenue Hours - Sizing'!F36</f>
        <v>14739</v>
      </c>
      <c r="G46" s="175">
        <f>'Revenue Miles - Sizing'!F36</f>
        <v>375346</v>
      </c>
      <c r="H46" s="191">
        <f t="shared" si="45"/>
        <v>1.4091781890834712E-3</v>
      </c>
      <c r="I46" s="110">
        <f t="shared" si="0"/>
        <v>1.4091781890834712E-3</v>
      </c>
      <c r="J46" s="111"/>
      <c r="K46" s="112">
        <f>'Ridership'!C36/'Revenue Hours'!B36</f>
        <v>1.5445728965960179</v>
      </c>
      <c r="L46" s="177">
        <f>'Ridership'!D36/'Revenue Hours'!C36</f>
        <v>1.8291929463251384</v>
      </c>
      <c r="M46" s="177">
        <f>'Ridership'!E36/'Revenue Hours'!D36</f>
        <v>1.8592764259044676</v>
      </c>
      <c r="N46" s="177">
        <f>'Ridership'!F36/'Revenue Hours'!E36</f>
        <v>1.9186511975032228</v>
      </c>
      <c r="O46" s="178">
        <f t="shared" si="1"/>
        <v>0.97318686931968579</v>
      </c>
      <c r="P46" s="179">
        <f t="shared" si="2"/>
        <v>1.3713937101477276E-3</v>
      </c>
      <c r="Q46" s="113">
        <f t="shared" si="3"/>
        <v>1.3577111314866067E-3</v>
      </c>
      <c r="R46" s="114">
        <f>'Ridership'!C36/'Revenue Miles'!C36</f>
        <v>5.8014121779238044E-2</v>
      </c>
      <c r="S46" s="177">
        <f>'Ridership'!D36/'Revenue Miles'!D36</f>
        <v>6.7953110393320887E-2</v>
      </c>
      <c r="T46" s="177">
        <f>'Ridership'!E36/'Revenue Miles'!E36</f>
        <v>6.9838183946067764E-2</v>
      </c>
      <c r="U46" s="177">
        <f>'Ridership'!F36/'Revenue Miles'!F36</f>
        <v>7.5341151897182865E-2</v>
      </c>
      <c r="V46" s="178">
        <f t="shared" si="4"/>
        <v>0.98492103509119799</v>
      </c>
      <c r="W46" s="179">
        <f t="shared" si="5"/>
        <v>1.3879292406200323E-3</v>
      </c>
      <c r="X46" s="113">
        <f t="shared" si="6"/>
        <v>1.3716938272276998E-3</v>
      </c>
      <c r="Y46" s="262">
        <f>'Op Cost - Performance'!C36/'Revenue Hours'!B36</f>
        <v>36.826011560693644</v>
      </c>
      <c r="Z46" s="263">
        <f>'Op Cost - Performance'!D36/'Revenue Hours'!C36</f>
        <v>46.109795340455655</v>
      </c>
      <c r="AA46" s="263">
        <f>'Op Cost - Performance'!E36/'Revenue Hours'!D36</f>
        <v>38.936719454100682</v>
      </c>
      <c r="AB46" s="263">
        <f>'Op Cost - Performance'!F36/'Revenue Hours'!E36</f>
        <v>36.495759549494537</v>
      </c>
      <c r="AC46" s="178">
        <f t="shared" si="7"/>
        <v>0.94514576140290318</v>
      </c>
      <c r="AD46" s="179">
        <f t="shared" si="8"/>
        <v>1.4909638773513551E-3</v>
      </c>
      <c r="AE46" s="113">
        <f t="shared" si="9"/>
        <v>1.4865676451076794E-3</v>
      </c>
      <c r="AF46" s="262">
        <f>'Op Cost - Performance'!C36/'Revenue Miles'!C36</f>
        <v>1.3831841307289821</v>
      </c>
      <c r="AG46" s="263">
        <f>'Op Cost - Performance'!D36/'Revenue Miles'!D36</f>
        <v>1.712943415443541</v>
      </c>
      <c r="AH46" s="263">
        <f>'Op Cost - Performance'!E36/'Revenue Miles'!E36</f>
        <v>1.4625419532058537</v>
      </c>
      <c r="AI46" s="263">
        <f>'Op Cost - Performance'!F36/'Revenue Miles'!F36</f>
        <v>1.4331070532255572</v>
      </c>
      <c r="AJ46" s="178">
        <f t="shared" si="10"/>
        <v>0.95436380425360456</v>
      </c>
      <c r="AK46" s="179">
        <f t="shared" si="11"/>
        <v>1.4765629027450084E-3</v>
      </c>
      <c r="AL46" s="113">
        <f t="shared" si="12"/>
        <v>1.4750169275455629E-3</v>
      </c>
      <c r="AM46" s="262">
        <f>'Op Cost - Performance'!C36/'Ridership'!C36</f>
        <v>23.842197180755957</v>
      </c>
      <c r="AN46" s="263">
        <f>'Op Cost - Performance'!D36/'Ridership'!D36</f>
        <v>25.207726409119697</v>
      </c>
      <c r="AO46" s="263">
        <f>'Op Cost - Performance'!E36/'Ridership'!E36</f>
        <v>20.941866906723909</v>
      </c>
      <c r="AP46" s="263">
        <f>'Op Cost - Performance'!F36/'Ridership'!F36</f>
        <v>19.021570776901587</v>
      </c>
      <c r="AQ46" s="264">
        <f t="shared" si="13"/>
        <v>0.96850017805437405</v>
      </c>
      <c r="AR46" s="179">
        <f t="shared" si="14"/>
        <v>1.4550107692436133E-3</v>
      </c>
      <c r="AS46" s="115">
        <f t="shared" si="15"/>
        <v>1.4499440864205353E-3</v>
      </c>
      <c r="AT46" s="111"/>
      <c r="AU46" s="116">
        <f t="shared" si="16"/>
        <v>2.7154222629732137E-4</v>
      </c>
      <c r="AV46" s="180">
        <f t="shared" si="17"/>
        <v>2.7433876544553996E-4</v>
      </c>
      <c r="AW46" s="180">
        <f t="shared" si="18"/>
        <v>2.9731352902153589E-4</v>
      </c>
      <c r="AX46" s="180">
        <f t="shared" si="19"/>
        <v>2.950033855091126E-4</v>
      </c>
      <c r="AY46" s="117">
        <f t="shared" si="20"/>
        <v>2.8998881728410707E-4</v>
      </c>
      <c r="AZ46" s="111"/>
      <c r="BA46" s="118">
        <f t="shared" si="21"/>
        <v>37690.112060006752</v>
      </c>
      <c r="BB46" s="181">
        <f t="shared" si="22"/>
        <v>38078.272219528852</v>
      </c>
      <c r="BC46" s="181">
        <f t="shared" si="23"/>
        <v>41267.173723132641</v>
      </c>
      <c r="BD46" s="181">
        <f t="shared" si="24"/>
        <v>40946.525369301307</v>
      </c>
      <c r="BE46" s="181">
        <f t="shared" si="25"/>
        <v>40250.502356931713</v>
      </c>
      <c r="BF46" s="119">
        <f t="shared" si="26"/>
        <v>198232.58572890126</v>
      </c>
      <c r="BH46" s="257">
        <f>'Op Cost - Performance'!F36</f>
        <v>537911</v>
      </c>
      <c r="BI46" s="182">
        <f t="shared" si="27"/>
        <v>0.36852301910334845</v>
      </c>
      <c r="BJ46" s="183">
        <f t="shared" si="28"/>
        <v>161373.29999999999</v>
      </c>
      <c r="BK46" s="138">
        <f t="shared" si="29"/>
        <v>36859.285728901275</v>
      </c>
      <c r="BM46" s="52">
        <f t="shared" si="30"/>
        <v>0</v>
      </c>
      <c r="BN46" s="184">
        <f t="shared" si="31"/>
        <v>0</v>
      </c>
      <c r="BO46" s="259">
        <f t="shared" si="32"/>
        <v>0</v>
      </c>
      <c r="BP46" s="259">
        <f t="shared" si="46"/>
        <v>161373.29999999999</v>
      </c>
      <c r="BQ46" s="185">
        <f t="shared" si="47"/>
        <v>0.3</v>
      </c>
      <c r="BR46" s="142">
        <f t="shared" si="33"/>
        <v>0</v>
      </c>
      <c r="BS46" s="11"/>
      <c r="BT46" s="256">
        <f t="shared" si="34"/>
        <v>537911</v>
      </c>
      <c r="BU46" s="186">
        <f t="shared" si="48"/>
        <v>0.3</v>
      </c>
      <c r="BV46" s="187">
        <f t="shared" si="35"/>
        <v>161373.29999999999</v>
      </c>
      <c r="BW46" s="143">
        <f t="shared" si="36"/>
        <v>0</v>
      </c>
      <c r="BY46" s="52">
        <f t="shared" si="49"/>
        <v>0</v>
      </c>
      <c r="BZ46" s="188">
        <f t="shared" si="37"/>
        <v>0</v>
      </c>
      <c r="CA46" s="189">
        <f t="shared" si="38"/>
        <v>0</v>
      </c>
      <c r="CB46" s="147">
        <f t="shared" si="50"/>
        <v>161373.29999999999</v>
      </c>
      <c r="CC46" s="190">
        <f t="shared" si="51"/>
        <v>0.3</v>
      </c>
      <c r="CD46" s="148">
        <f t="shared" si="39"/>
        <v>0</v>
      </c>
      <c r="CE46" s="97"/>
      <c r="CF46" s="154">
        <f t="shared" si="40"/>
        <v>161373.29999999999</v>
      </c>
      <c r="CG46" s="189">
        <f t="shared" si="41"/>
        <v>0</v>
      </c>
      <c r="CH46" s="266">
        <f t="shared" si="42"/>
        <v>161373.29999999999</v>
      </c>
      <c r="CI46" s="155">
        <f t="shared" si="43"/>
        <v>0.3</v>
      </c>
      <c r="CJ46" s="275">
        <v>181452.9</v>
      </c>
      <c r="CK46" s="276">
        <f t="shared" si="44"/>
        <v>-0.11066012171753666</v>
      </c>
      <c r="CL46" s="277">
        <f t="shared" si="52"/>
        <v>-1.2194245980169323</v>
      </c>
      <c r="CM46" s="278">
        <f>'Ridership'!P36</f>
        <v>-2.08780555363202E-2</v>
      </c>
      <c r="CN46" s="277">
        <f t="shared" si="53"/>
        <v>5.3003078531441021</v>
      </c>
      <c r="CO46" s="280">
        <f>CJ46-CH46</f>
        <v>20079.600000000006</v>
      </c>
    </row>
    <row r="47" spans="1:93">
      <c r="A47" s="71" t="s">
        <v>228</v>
      </c>
      <c r="B47" s="240" t="s">
        <v>43</v>
      </c>
      <c r="C47" s="27"/>
      <c r="D47" s="70">
        <f>'Op Cost - Performance'!F37</f>
        <v>5142066</v>
      </c>
      <c r="E47" s="175">
        <f>'Ridership'!$F37</f>
        <v>135799</v>
      </c>
      <c r="F47" s="175">
        <f>'Revenue Hours - Sizing'!F37</f>
        <v>45862</v>
      </c>
      <c r="G47" s="175">
        <f>'Revenue Miles - Sizing'!F37</f>
        <v>890440</v>
      </c>
      <c r="H47" s="191">
        <f t="shared" si="45"/>
        <v>6.8975037059965825E-3</v>
      </c>
      <c r="I47" s="110">
        <f t="shared" si="0"/>
        <v>6.8975037059965825E-3</v>
      </c>
      <c r="J47" s="111"/>
      <c r="K47" s="112">
        <f>'Ridership'!C37/'Revenue Hours'!B37</f>
        <v>2.271031556749429</v>
      </c>
      <c r="L47" s="177">
        <f>'Ridership'!D37/'Revenue Hours'!C37</f>
        <v>2.6724711742855303</v>
      </c>
      <c r="M47" s="177">
        <f>'Ridership'!E37/'Revenue Hours'!D37</f>
        <v>2.7298088367343145</v>
      </c>
      <c r="N47" s="177">
        <f>'Ridership'!F37/'Revenue Hours'!E37</f>
        <v>2.9610352797523003</v>
      </c>
      <c r="O47" s="178">
        <f t="shared" si="1"/>
        <v>0.98918508208522538</v>
      </c>
      <c r="P47" s="179">
        <f t="shared" si="2"/>
        <v>6.822907769599376E-3</v>
      </c>
      <c r="Q47" s="113">
        <f t="shared" si="3"/>
        <v>6.754834705267573E-3</v>
      </c>
      <c r="R47" s="114">
        <f>'Ridership'!C37/'Revenue Miles'!C37</f>
        <v>0.11118198611423494</v>
      </c>
      <c r="S47" s="177">
        <f>'Ridership'!D37/'Revenue Miles'!D37</f>
        <v>0.13217419191779745</v>
      </c>
      <c r="T47" s="177">
        <f>'Ridership'!E37/'Revenue Miles'!E37</f>
        <v>0.13883366511760292</v>
      </c>
      <c r="U47" s="177">
        <f>'Ridership'!F37/'Revenue Miles'!F37</f>
        <v>0.15250774897803332</v>
      </c>
      <c r="V47" s="178">
        <f t="shared" si="4"/>
        <v>1.0030124715932793</v>
      </c>
      <c r="W47" s="179">
        <f t="shared" si="5"/>
        <v>6.9182822399754358E-3</v>
      </c>
      <c r="X47" s="113">
        <f t="shared" si="6"/>
        <v>6.8373550796825546E-3</v>
      </c>
      <c r="Y47" s="262">
        <f>'Op Cost - Performance'!C37/'Revenue Hours'!B37</f>
        <v>98.371300178244169</v>
      </c>
      <c r="Z47" s="263">
        <f>'Op Cost - Performance'!D37/'Revenue Hours'!C37</f>
        <v>93.44738367723788</v>
      </c>
      <c r="AA47" s="263">
        <f>'Op Cost - Performance'!E37/'Revenue Hours'!D37</f>
        <v>108.95381405851531</v>
      </c>
      <c r="AB47" s="263">
        <f>'Op Cost - Performance'!F37/'Revenue Hours'!E37</f>
        <v>112.12040469233789</v>
      </c>
      <c r="AC47" s="178">
        <f t="shared" si="7"/>
        <v>0.98457043861073978</v>
      </c>
      <c r="AD47" s="179">
        <f t="shared" si="8"/>
        <v>7.0055969948977746E-3</v>
      </c>
      <c r="AE47" s="113">
        <f t="shared" si="9"/>
        <v>6.9849404036395881E-3</v>
      </c>
      <c r="AF47" s="262">
        <f>'Op Cost - Performance'!C37/'Revenue Miles'!C37</f>
        <v>4.8159245070602568</v>
      </c>
      <c r="AG47" s="263">
        <f>'Op Cost - Performance'!D37/'Revenue Miles'!D37</f>
        <v>4.6216896717972462</v>
      </c>
      <c r="AH47" s="263">
        <f>'Op Cost - Performance'!E37/'Revenue Miles'!E37</f>
        <v>5.5412148758304092</v>
      </c>
      <c r="AI47" s="263">
        <f>'Op Cost - Performance'!F37/'Revenue Miles'!F37</f>
        <v>5.7747473159336957</v>
      </c>
      <c r="AJ47" s="178">
        <f t="shared" si="10"/>
        <v>0.99935289018116258</v>
      </c>
      <c r="AK47" s="179">
        <f t="shared" si="11"/>
        <v>6.9019700385778687E-3</v>
      </c>
      <c r="AL47" s="113">
        <f t="shared" si="12"/>
        <v>6.8947436112532208E-3</v>
      </c>
      <c r="AM47" s="262">
        <f>'Op Cost - Performance'!C37/'Ridership'!C37</f>
        <v>43.315690566204594</v>
      </c>
      <c r="AN47" s="263">
        <f>'Op Cost - Performance'!D37/'Ridership'!D37</f>
        <v>34.966657293214958</v>
      </c>
      <c r="AO47" s="263">
        <f>'Op Cost - Performance'!E37/'Ridership'!E37</f>
        <v>39.912616807577393</v>
      </c>
      <c r="AP47" s="263">
        <f>'Op Cost - Performance'!F37/'Ridership'!F37</f>
        <v>37.865271467389306</v>
      </c>
      <c r="AQ47" s="264">
        <f t="shared" si="13"/>
        <v>0.9984216625323189</v>
      </c>
      <c r="AR47" s="179">
        <f t="shared" si="14"/>
        <v>6.9084075044027905E-3</v>
      </c>
      <c r="AS47" s="115">
        <f t="shared" si="15"/>
        <v>6.8843508373476201E-3</v>
      </c>
      <c r="AT47" s="111"/>
      <c r="AU47" s="116">
        <f t="shared" si="16"/>
        <v>1.3509669410535147E-3</v>
      </c>
      <c r="AV47" s="180">
        <f t="shared" si="17"/>
        <v>1.3674710159365111E-3</v>
      </c>
      <c r="AW47" s="180">
        <f t="shared" si="18"/>
        <v>1.3969880807279177E-3</v>
      </c>
      <c r="AX47" s="180">
        <f t="shared" si="19"/>
        <v>1.3789487222506443E-3</v>
      </c>
      <c r="AY47" s="117">
        <f t="shared" si="20"/>
        <v>1.376870167469524E-3</v>
      </c>
      <c r="AZ47" s="111"/>
      <c r="BA47" s="118">
        <f t="shared" si="21"/>
        <v>187514.46540001276</v>
      </c>
      <c r="BB47" s="181">
        <f t="shared" si="22"/>
        <v>189805.23409653874</v>
      </c>
      <c r="BC47" s="181">
        <f t="shared" si="23"/>
        <v>193902.20823879415</v>
      </c>
      <c r="BD47" s="181">
        <f t="shared" si="24"/>
        <v>191398.34189074923</v>
      </c>
      <c r="BE47" s="181">
        <f t="shared" si="25"/>
        <v>191109.8380963614</v>
      </c>
      <c r="BF47" s="119">
        <f t="shared" si="26"/>
        <v>953730.08772245632</v>
      </c>
      <c r="BH47" s="257">
        <f>'Op Cost - Performance'!F37</f>
        <v>5142066</v>
      </c>
      <c r="BI47" s="182">
        <f t="shared" si="27"/>
        <v>0.18547604945608562</v>
      </c>
      <c r="BJ47" s="183">
        <f t="shared" si="28"/>
        <v>953730.08772245632</v>
      </c>
      <c r="BK47" s="138">
        <f t="shared" si="29"/>
        <v>0</v>
      </c>
      <c r="BM47" s="52">
        <f t="shared" si="30"/>
        <v>953730.08772245632</v>
      </c>
      <c r="BN47" s="184">
        <f t="shared" si="31"/>
        <v>7.8769701701446489E-3</v>
      </c>
      <c r="BO47" s="259">
        <f t="shared" si="32"/>
        <v>12893.283451145297</v>
      </c>
      <c r="BP47" s="259">
        <f t="shared" si="46"/>
        <v>966623.3711736016</v>
      </c>
      <c r="BQ47" s="185">
        <f t="shared" si="47"/>
        <v>0.1879834625175176</v>
      </c>
      <c r="BR47" s="142">
        <f t="shared" si="33"/>
        <v>0</v>
      </c>
      <c r="BS47" s="11"/>
      <c r="BT47" s="256">
        <f t="shared" si="34"/>
        <v>5142066</v>
      </c>
      <c r="BU47" s="186">
        <f t="shared" si="48"/>
        <v>0.1879834625175176</v>
      </c>
      <c r="BV47" s="187">
        <f t="shared" si="35"/>
        <v>966623.3711736016</v>
      </c>
      <c r="BW47" s="143">
        <f t="shared" si="36"/>
        <v>0</v>
      </c>
      <c r="BY47" s="52">
        <f t="shared" si="49"/>
        <v>966623.3711736016</v>
      </c>
      <c r="BZ47" s="188">
        <f t="shared" si="37"/>
        <v>7.8769701701446506E-3</v>
      </c>
      <c r="CA47" s="189">
        <f t="shared" si="38"/>
        <v>0</v>
      </c>
      <c r="CB47" s="147">
        <f t="shared" si="50"/>
        <v>966623.3711736016</v>
      </c>
      <c r="CC47" s="190">
        <f t="shared" si="51"/>
        <v>0.1879834625175176</v>
      </c>
      <c r="CD47" s="148">
        <f t="shared" si="39"/>
        <v>0</v>
      </c>
      <c r="CE47" s="97"/>
      <c r="CF47" s="154">
        <f t="shared" si="40"/>
        <v>1542619.8</v>
      </c>
      <c r="CG47" s="189">
        <f t="shared" si="41"/>
        <v>0</v>
      </c>
      <c r="CH47" s="266">
        <f t="shared" si="42"/>
        <v>966623.3711736016</v>
      </c>
      <c r="CI47" s="155">
        <f t="shared" si="43"/>
        <v>0.1879834625175176</v>
      </c>
      <c r="CJ47" s="275">
        <v>962324.56930696522</v>
      </c>
      <c r="CK47" s="276">
        <f t="shared" si="44"/>
        <v>4.4671018528938062E-3</v>
      </c>
      <c r="CL47" s="277">
        <f t="shared" si="52"/>
        <v>4.9225446319046233E-2</v>
      </c>
      <c r="CM47" s="278">
        <f>'Ridership'!P37</f>
        <v>7.9071578412052632E-2</v>
      </c>
      <c r="CN47" s="277">
        <f t="shared" si="53"/>
        <v>0</v>
      </c>
      <c r="CO47" s="279"/>
    </row>
    <row r="48" spans="1:93" ht="16.5" customHeight="1">
      <c r="A48" s="71" t="s">
        <v>228</v>
      </c>
      <c r="B48" s="240" t="s">
        <v>44</v>
      </c>
      <c r="C48" s="27"/>
      <c r="D48" s="70">
        <f>'Op Cost - Performance'!F38</f>
        <v>705021</v>
      </c>
      <c r="E48" s="175">
        <f>'Ridership'!$F38</f>
        <v>12961</v>
      </c>
      <c r="F48" s="175">
        <f>'Revenue Hours - Sizing'!F38</f>
        <v>5116</v>
      </c>
      <c r="G48" s="175">
        <f>'Revenue Miles - Sizing'!F38</f>
        <v>57889</v>
      </c>
      <c r="H48" s="176">
        <f t="shared" si="45"/>
        <v>7.9907193204570781E-4</v>
      </c>
      <c r="I48" s="110">
        <f t="shared" si="0"/>
        <v>7.9907193204570781E-4</v>
      </c>
      <c r="J48" s="111"/>
      <c r="K48" s="112">
        <f>'Ridership'!C38/'Revenue Hours'!B38</f>
        <v>2.1966604823747682</v>
      </c>
      <c r="L48" s="177">
        <f>'Ridership'!D38/'Revenue Hours'!C38</f>
        <v>2.1937241638481773</v>
      </c>
      <c r="M48" s="177">
        <f>'Ridership'!E38/'Revenue Hours'!D38</f>
        <v>2.3874407582938391</v>
      </c>
      <c r="N48" s="177">
        <f>'Ridership'!F38/'Revenue Hours'!E38</f>
        <v>2.5334245504300235</v>
      </c>
      <c r="O48" s="178">
        <f t="shared" si="1"/>
        <v>0.95240935508015623</v>
      </c>
      <c r="P48" s="179">
        <f t="shared" si="2"/>
        <v>7.6104358346230699E-4</v>
      </c>
      <c r="Q48" s="113">
        <f t="shared" si="3"/>
        <v>7.5345054973449254E-4</v>
      </c>
      <c r="R48" s="114">
        <f>'Ridership'!C38/'Revenue Miles'!C38</f>
        <v>0.21260549470281917</v>
      </c>
      <c r="S48" s="177">
        <f>'Ridership'!D38/'Revenue Miles'!D38</f>
        <v>0.19288275041715541</v>
      </c>
      <c r="T48" s="177">
        <f>'Ridership'!E38/'Revenue Miles'!E38</f>
        <v>0.20174882354904383</v>
      </c>
      <c r="U48" s="177">
        <f>'Ridership'!F38/'Revenue Miles'!F38</f>
        <v>0.22389400404221874</v>
      </c>
      <c r="V48" s="178">
        <f t="shared" si="4"/>
        <v>0.92619241952537656</v>
      </c>
      <c r="W48" s="179">
        <f t="shared" si="5"/>
        <v>7.4009436611623136E-4</v>
      </c>
      <c r="X48" s="113">
        <f t="shared" si="6"/>
        <v>7.3143705302592895E-4</v>
      </c>
      <c r="Y48" s="262">
        <f>'Op Cost - Performance'!C38/'Revenue Hours'!B38</f>
        <v>30.05751391465677</v>
      </c>
      <c r="Z48" s="263">
        <f>'Op Cost - Performance'!D38/'Revenue Hours'!C38</f>
        <v>32.056181886508831</v>
      </c>
      <c r="AA48" s="263">
        <f>'Op Cost - Performance'!E38/'Revenue Hours'!D38</f>
        <v>90.292061611374407</v>
      </c>
      <c r="AB48" s="263">
        <f>'Op Cost - Performance'!F38/'Revenue Hours'!E38</f>
        <v>137.8070758405004</v>
      </c>
      <c r="AC48" s="178">
        <f t="shared" si="7"/>
        <v>1.704862187839308</v>
      </c>
      <c r="AD48" s="179">
        <f t="shared" si="8"/>
        <v>4.6870177410552347E-4</v>
      </c>
      <c r="AE48" s="113">
        <f t="shared" si="9"/>
        <v>4.673197675503739E-4</v>
      </c>
      <c r="AF48" s="262">
        <f>'Op Cost - Performance'!C38/'Revenue Miles'!C38</f>
        <v>2.9091398814868019</v>
      </c>
      <c r="AG48" s="263">
        <f>'Op Cost - Performance'!D38/'Revenue Miles'!D38</f>
        <v>2.8185332650465065</v>
      </c>
      <c r="AH48" s="263">
        <f>'Op Cost - Performance'!E38/'Revenue Miles'!E38</f>
        <v>7.6300604078363312</v>
      </c>
      <c r="AI48" s="263">
        <f>'Op Cost - Performance'!F38/'Revenue Miles'!F38</f>
        <v>12.178842267097377</v>
      </c>
      <c r="AJ48" s="178">
        <f t="shared" si="10"/>
        <v>1.6569460601139472</v>
      </c>
      <c r="AK48" s="179">
        <f t="shared" si="11"/>
        <v>4.8225585085778593E-4</v>
      </c>
      <c r="AL48" s="113">
        <f t="shared" si="12"/>
        <v>4.8175092446160761E-4</v>
      </c>
      <c r="AM48" s="262">
        <f>'Op Cost - Performance'!C38/'Ridership'!C38</f>
        <v>13.683277027027026</v>
      </c>
      <c r="AN48" s="263">
        <f>'Op Cost - Performance'!D38/'Ridership'!D38</f>
        <v>14.612676659528908</v>
      </c>
      <c r="AO48" s="263">
        <f>'Op Cost - Performance'!E38/'Ridership'!E38</f>
        <v>37.819602977667493</v>
      </c>
      <c r="AP48" s="263">
        <f>'Op Cost - Performance'!F38/'Ridership'!F38</f>
        <v>54.395571329372736</v>
      </c>
      <c r="AQ48" s="264">
        <f t="shared" si="13"/>
        <v>1.7527025737547695</v>
      </c>
      <c r="AR48" s="179">
        <f t="shared" si="14"/>
        <v>4.5590846046050852E-4</v>
      </c>
      <c r="AS48" s="115">
        <f t="shared" si="15"/>
        <v>4.5432088213164705E-4</v>
      </c>
      <c r="AT48" s="111"/>
      <c r="AU48" s="116">
        <f t="shared" si="16"/>
        <v>1.5069010994689852E-4</v>
      </c>
      <c r="AV48" s="180">
        <f t="shared" si="17"/>
        <v>1.462874106051858E-4</v>
      </c>
      <c r="AW48" s="180">
        <f t="shared" si="18"/>
        <v>9.346395351007478E-5</v>
      </c>
      <c r="AX48" s="180">
        <f t="shared" si="19"/>
        <v>9.635018489232153E-5</v>
      </c>
      <c r="AY48" s="117">
        <f t="shared" si="20"/>
        <v>9.0864176426329413E-5</v>
      </c>
      <c r="AZ48" s="111"/>
      <c r="BA48" s="118">
        <f t="shared" si="21"/>
        <v>20915.815590370185</v>
      </c>
      <c r="BB48" s="181">
        <f t="shared" si="22"/>
        <v>20304.720094032982</v>
      </c>
      <c r="BC48" s="181">
        <f t="shared" si="23"/>
        <v>12972.814318421639</v>
      </c>
      <c r="BD48" s="181">
        <f t="shared" si="24"/>
        <v>13373.423776888989</v>
      </c>
      <c r="BE48" s="181">
        <f t="shared" si="25"/>
        <v>12611.96477043969</v>
      </c>
      <c r="BF48" s="119">
        <f t="shared" si="26"/>
        <v>80178.738550153488</v>
      </c>
      <c r="BH48" s="257">
        <f>'Op Cost - Performance'!F38</f>
        <v>705021</v>
      </c>
      <c r="BI48" s="182">
        <f t="shared" si="27"/>
        <v>0.11372531960062678</v>
      </c>
      <c r="BJ48" s="183">
        <f t="shared" si="28"/>
        <v>80178.738550153488</v>
      </c>
      <c r="BK48" s="138">
        <f t="shared" si="29"/>
        <v>0</v>
      </c>
      <c r="BM48" s="52">
        <f t="shared" si="30"/>
        <v>80178.738550153488</v>
      </c>
      <c r="BN48" s="184">
        <f t="shared" si="31"/>
        <v>6.6220573301570913E-4</v>
      </c>
      <c r="BO48" s="259">
        <f t="shared" si="32"/>
        <v>1083.9200903801564</v>
      </c>
      <c r="BP48" s="259">
        <f t="shared" si="46"/>
        <v>81262.658640533642</v>
      </c>
      <c r="BQ48" s="185">
        <f t="shared" si="47"/>
        <v>0.1152627491103579</v>
      </c>
      <c r="BR48" s="142">
        <f t="shared" si="33"/>
        <v>0</v>
      </c>
      <c r="BS48" s="11"/>
      <c r="BT48" s="256">
        <f t="shared" si="34"/>
        <v>705021</v>
      </c>
      <c r="BU48" s="186">
        <f t="shared" si="48"/>
        <v>0.1152627491103579</v>
      </c>
      <c r="BV48" s="187">
        <f t="shared" si="35"/>
        <v>81262.658640533642</v>
      </c>
      <c r="BW48" s="143">
        <f t="shared" si="36"/>
        <v>0</v>
      </c>
      <c r="BY48" s="52">
        <f t="shared" si="49"/>
        <v>81262.658640533642</v>
      </c>
      <c r="BZ48" s="188">
        <f t="shared" si="37"/>
        <v>6.6220573301570935E-4</v>
      </c>
      <c r="CA48" s="189">
        <f t="shared" si="38"/>
        <v>0</v>
      </c>
      <c r="CB48" s="147">
        <f t="shared" si="50"/>
        <v>81262.658640533642</v>
      </c>
      <c r="CC48" s="190">
        <f t="shared" si="51"/>
        <v>0.1152627491103579</v>
      </c>
      <c r="CD48" s="148">
        <f t="shared" si="39"/>
        <v>0</v>
      </c>
      <c r="CE48" s="97"/>
      <c r="CF48" s="154">
        <f t="shared" si="40"/>
        <v>211506.3</v>
      </c>
      <c r="CG48" s="189">
        <f t="shared" si="41"/>
        <v>0</v>
      </c>
      <c r="CH48" s="266">
        <f t="shared" si="42"/>
        <v>81262.658640533642</v>
      </c>
      <c r="CI48" s="155">
        <f t="shared" si="43"/>
        <v>0.1152627491103579</v>
      </c>
      <c r="CJ48" s="275">
        <v>61833.656721746825</v>
      </c>
      <c r="CK48" s="276">
        <f t="shared" si="44"/>
        <v>0.31421402111503555</v>
      </c>
      <c r="CL48" s="277">
        <f t="shared" si="52"/>
        <v>3.462496701092689</v>
      </c>
      <c r="CM48" s="278">
        <f>'Ridership'!P38</f>
        <v>7.2043010752688166E-2</v>
      </c>
      <c r="CN48" s="277">
        <f t="shared" si="53"/>
        <v>0</v>
      </c>
      <c r="CO48" s="279"/>
    </row>
    <row r="49" spans="1:93">
      <c r="A49" s="71" t="s">
        <v>228</v>
      </c>
      <c r="B49" s="240" t="s">
        <v>52</v>
      </c>
      <c r="C49" s="27"/>
      <c r="D49" s="70">
        <f>'Op Cost - Performance'!F39</f>
        <v>1208220</v>
      </c>
      <c r="E49" s="175">
        <f>'Ridership'!$F39</f>
        <v>70287</v>
      </c>
      <c r="F49" s="175">
        <f>'Revenue Hours - Sizing'!F39</f>
        <v>17965</v>
      </c>
      <c r="G49" s="175">
        <f>'Revenue Miles - Sizing'!F39</f>
        <v>302041</v>
      </c>
      <c r="H49" s="191">
        <f t="shared" si="45"/>
        <v>2.0998078291841423E-3</v>
      </c>
      <c r="I49" s="110">
        <f t="shared" si="0"/>
        <v>2.0998078291841423E-3</v>
      </c>
      <c r="J49" s="111"/>
      <c r="K49" s="112">
        <f>'Ridership'!C39/'Revenue Hours'!B39</f>
        <v>2.7255388346838654</v>
      </c>
      <c r="L49" s="177">
        <f>'Ridership'!D39/'Revenue Hours'!C39</f>
        <v>3.379350030141941</v>
      </c>
      <c r="M49" s="177">
        <f>'Ridership'!E39/'Revenue Hours'!D39</f>
        <v>3.379385132570623</v>
      </c>
      <c r="N49" s="177">
        <f>'Ridership'!F39/'Revenue Hours'!E39</f>
        <v>3.9124408572223768</v>
      </c>
      <c r="O49" s="178">
        <f t="shared" si="1"/>
        <v>1.0232098317964229</v>
      </c>
      <c r="P49" s="179">
        <f t="shared" si="2"/>
        <v>2.1485440157043181E-3</v>
      </c>
      <c r="Q49" s="113">
        <f t="shared" si="3"/>
        <v>2.12710770439253E-3</v>
      </c>
      <c r="R49" s="114">
        <f>'Ridership'!C39/'Revenue Miles'!C39</f>
        <v>0.1590504069225078</v>
      </c>
      <c r="S49" s="177">
        <f>'Ridership'!D39/'Revenue Miles'!D39</f>
        <v>0.19664325941233121</v>
      </c>
      <c r="T49" s="177">
        <f>'Ridership'!E39/'Revenue Miles'!E39</f>
        <v>0.20075307365498404</v>
      </c>
      <c r="U49" s="177">
        <f>'Ridership'!F39/'Revenue Miles'!F39</f>
        <v>0.23270681794855666</v>
      </c>
      <c r="V49" s="178">
        <f t="shared" si="4"/>
        <v>1.0262212910176534</v>
      </c>
      <c r="W49" s="179">
        <f t="shared" si="5"/>
        <v>2.1548675013543265E-3</v>
      </c>
      <c r="X49" s="113">
        <f t="shared" si="6"/>
        <v>2.1296607662656115E-3</v>
      </c>
      <c r="Y49" s="262">
        <f>'Op Cost - Performance'!C39/'Revenue Hours'!B39</f>
        <v>79.509949837384923</v>
      </c>
      <c r="Z49" s="263">
        <f>'Op Cost - Performance'!D39/'Revenue Hours'!C39</f>
        <v>73.872855811914292</v>
      </c>
      <c r="AA49" s="263">
        <f>'Op Cost - Performance'!E39/'Revenue Hours'!D39</f>
        <v>66.185056661063825</v>
      </c>
      <c r="AB49" s="263">
        <f>'Op Cost - Performance'!F39/'Revenue Hours'!E39</f>
        <v>67.254105204564425</v>
      </c>
      <c r="AC49" s="178">
        <f t="shared" si="7"/>
        <v>0.88746867099357374</v>
      </c>
      <c r="AD49" s="179">
        <f t="shared" si="8"/>
        <v>2.3660641753508699E-3</v>
      </c>
      <c r="AE49" s="113">
        <f t="shared" si="9"/>
        <v>2.3590876363640489E-3</v>
      </c>
      <c r="AF49" s="262">
        <f>'Op Cost - Performance'!C39/'Revenue Miles'!C39</f>
        <v>4.639849454756007</v>
      </c>
      <c r="AG49" s="263">
        <f>'Op Cost - Performance'!D39/'Revenue Miles'!D39</f>
        <v>4.2986370217298404</v>
      </c>
      <c r="AH49" s="263">
        <f>'Op Cost - Performance'!E39/'Revenue Miles'!E39</f>
        <v>3.9317369975616905</v>
      </c>
      <c r="AI49" s="263">
        <f>'Op Cost - Performance'!F39/'Revenue Miles'!F39</f>
        <v>4.0001854052926591</v>
      </c>
      <c r="AJ49" s="178">
        <f t="shared" si="10"/>
        <v>0.89053411101982227</v>
      </c>
      <c r="AK49" s="179">
        <f t="shared" si="11"/>
        <v>2.357919593646428E-3</v>
      </c>
      <c r="AL49" s="113">
        <f t="shared" si="12"/>
        <v>2.3554508297303853E-3</v>
      </c>
      <c r="AM49" s="262">
        <f>'Op Cost - Performance'!C39/'Ridership'!C39</f>
        <v>29.17219480624545</v>
      </c>
      <c r="AN49" s="263">
        <f>'Op Cost - Performance'!D39/'Ridership'!D39</f>
        <v>21.860078166809917</v>
      </c>
      <c r="AO49" s="263">
        <f>'Op Cost - Performance'!E39/'Ridership'!E39</f>
        <v>19.584940474280398</v>
      </c>
      <c r="AP49" s="263">
        <f>'Op Cost - Performance'!F39/'Ridership'!F39</f>
        <v>17.189807503521276</v>
      </c>
      <c r="AQ49" s="264">
        <f t="shared" si="13"/>
        <v>0.86945764448079377</v>
      </c>
      <c r="AR49" s="179">
        <f t="shared" si="14"/>
        <v>2.4150777700483223E-3</v>
      </c>
      <c r="AS49" s="115">
        <f t="shared" si="15"/>
        <v>2.4066679126695605E-3</v>
      </c>
      <c r="AT49" s="111"/>
      <c r="AU49" s="116">
        <f t="shared" si="16"/>
        <v>4.2542154087850604E-4</v>
      </c>
      <c r="AV49" s="180">
        <f t="shared" si="17"/>
        <v>4.2593215325312234E-4</v>
      </c>
      <c r="AW49" s="180">
        <f t="shared" si="18"/>
        <v>4.718175272728098E-4</v>
      </c>
      <c r="AX49" s="180">
        <f t="shared" si="19"/>
        <v>4.710901659460771E-4</v>
      </c>
      <c r="AY49" s="117">
        <f t="shared" si="20"/>
        <v>4.8133358253391213E-4</v>
      </c>
      <c r="AZ49" s="111"/>
      <c r="BA49" s="118">
        <f t="shared" si="21"/>
        <v>59048.58985318632</v>
      </c>
      <c r="BB49" s="181">
        <f t="shared" si="22"/>
        <v>59119.462946778192</v>
      </c>
      <c r="BC49" s="181">
        <f t="shared" si="23"/>
        <v>65488.361487161128</v>
      </c>
      <c r="BD49" s="181">
        <f t="shared" si="24"/>
        <v>65387.403598266697</v>
      </c>
      <c r="BE49" s="181">
        <f t="shared" si="25"/>
        <v>66809.191746420518</v>
      </c>
      <c r="BF49" s="119">
        <f t="shared" si="26"/>
        <v>315853.00963181286</v>
      </c>
      <c r="BH49" s="257">
        <f>'Op Cost - Performance'!F39</f>
        <v>1208220</v>
      </c>
      <c r="BI49" s="182">
        <f t="shared" si="27"/>
        <v>0.26142011358180867</v>
      </c>
      <c r="BJ49" s="183">
        <f t="shared" si="28"/>
        <v>315853.00963181286</v>
      </c>
      <c r="BK49" s="138">
        <f t="shared" si="29"/>
        <v>0</v>
      </c>
      <c r="BM49" s="52">
        <f t="shared" si="30"/>
        <v>315853.00963181286</v>
      </c>
      <c r="BN49" s="184">
        <f t="shared" si="31"/>
        <v>2.6086675539004484E-3</v>
      </c>
      <c r="BO49" s="259">
        <f t="shared" si="32"/>
        <v>4269.9527198573469</v>
      </c>
      <c r="BP49" s="259">
        <f t="shared" si="46"/>
        <v>320122.9623516702</v>
      </c>
      <c r="BQ49" s="185">
        <f t="shared" si="47"/>
        <v>0.26495419902970502</v>
      </c>
      <c r="BR49" s="142">
        <f t="shared" si="33"/>
        <v>0</v>
      </c>
      <c r="BS49" s="11"/>
      <c r="BT49" s="256">
        <f t="shared" si="34"/>
        <v>1208220</v>
      </c>
      <c r="BU49" s="186">
        <f t="shared" si="48"/>
        <v>0.26495419902970502</v>
      </c>
      <c r="BV49" s="187">
        <f t="shared" si="35"/>
        <v>320122.9623516702</v>
      </c>
      <c r="BW49" s="143">
        <f t="shared" si="36"/>
        <v>0</v>
      </c>
      <c r="BY49" s="52">
        <f t="shared" si="49"/>
        <v>320122.9623516702</v>
      </c>
      <c r="BZ49" s="188">
        <f t="shared" si="37"/>
        <v>2.6086675539004488E-3</v>
      </c>
      <c r="CA49" s="189">
        <f t="shared" si="38"/>
        <v>0</v>
      </c>
      <c r="CB49" s="147">
        <f t="shared" si="50"/>
        <v>320122.9623516702</v>
      </c>
      <c r="CC49" s="190">
        <f t="shared" si="51"/>
        <v>0.26495419902970502</v>
      </c>
      <c r="CD49" s="148">
        <f t="shared" si="39"/>
        <v>0</v>
      </c>
      <c r="CE49" s="97"/>
      <c r="CF49" s="154">
        <f t="shared" si="40"/>
        <v>362466</v>
      </c>
      <c r="CG49" s="189">
        <f t="shared" si="41"/>
        <v>0</v>
      </c>
      <c r="CH49" s="266">
        <f t="shared" si="42"/>
        <v>320122.9623516702</v>
      </c>
      <c r="CI49" s="155">
        <f t="shared" si="43"/>
        <v>0.26495419902970502</v>
      </c>
      <c r="CJ49" s="275">
        <v>290338.54631371854</v>
      </c>
      <c r="CK49" s="276">
        <f t="shared" si="44"/>
        <v>0.10258512490370052</v>
      </c>
      <c r="CL49" s="277">
        <f t="shared" si="52"/>
        <v>1.1304417775494604</v>
      </c>
      <c r="CM49" s="278">
        <f>'Ridership'!P39</f>
        <v>0.12773160478772905</v>
      </c>
      <c r="CN49" s="277">
        <f t="shared" si="53"/>
        <v>0</v>
      </c>
      <c r="CO49" s="279"/>
    </row>
    <row r="50" spans="1:93" ht="15" thickBot="1">
      <c r="A50" s="71" t="s">
        <v>228</v>
      </c>
      <c r="B50" s="240" t="s">
        <v>60</v>
      </c>
      <c r="C50" s="27"/>
      <c r="D50" s="70">
        <f>'Op Cost - Performance'!F40</f>
        <v>5119725</v>
      </c>
      <c r="E50" s="175">
        <f>'Ridership'!$F40</f>
        <v>196650</v>
      </c>
      <c r="F50" s="175">
        <f>'Revenue Hours - Sizing'!F40</f>
        <v>65376</v>
      </c>
      <c r="G50" s="175">
        <f>'Revenue Miles - Sizing'!F40</f>
        <v>983647</v>
      </c>
      <c r="H50" s="191">
        <f t="shared" si="45"/>
        <v>7.7277494123966142E-3</v>
      </c>
      <c r="I50" s="110">
        <f t="shared" si="0"/>
        <v>7.7277494123966142E-3</v>
      </c>
      <c r="J50" s="111"/>
      <c r="K50" s="112">
        <f>'Ridership'!C40/'Revenue Hours'!B40</f>
        <v>2.7993357457988401</v>
      </c>
      <c r="L50" s="177">
        <f>'Ridership'!D40/'Revenue Hours'!C40</f>
        <v>2.9370912341787041</v>
      </c>
      <c r="M50" s="177">
        <f>'Ridership'!E40/'Revenue Hours'!D40</f>
        <v>3.0469340297681482</v>
      </c>
      <c r="N50" s="177">
        <f>'Ridership'!F40/'Revenue Hours'!E40</f>
        <v>3.0079845814977975</v>
      </c>
      <c r="O50" s="178">
        <f t="shared" si="1"/>
        <v>0.92763044211760437</v>
      </c>
      <c r="P50" s="179">
        <f t="shared" si="2"/>
        <v>7.1684956039955285E-3</v>
      </c>
      <c r="Q50" s="113">
        <f t="shared" si="3"/>
        <v>7.0969745635694331E-3</v>
      </c>
      <c r="R50" s="114">
        <f>'Ridership'!C40/'Revenue Miles'!C40</f>
        <v>0.1810610173694088</v>
      </c>
      <c r="S50" s="177">
        <f>'Ridership'!D40/'Revenue Miles'!D40</f>
        <v>0.18826739427012279</v>
      </c>
      <c r="T50" s="177">
        <f>'Ridership'!E40/'Revenue Miles'!E40</f>
        <v>0.19505599363321124</v>
      </c>
      <c r="U50" s="177">
        <f>'Ridership'!F40/'Revenue Miles'!F40</f>
        <v>0.1999192799856046</v>
      </c>
      <c r="V50" s="178">
        <f t="shared" si="4"/>
        <v>0.93373434105098274</v>
      </c>
      <c r="W50" s="179">
        <f t="shared" si="5"/>
        <v>7.2156650053912712E-3</v>
      </c>
      <c r="X50" s="113">
        <f t="shared" si="6"/>
        <v>7.1312591863952101E-3</v>
      </c>
      <c r="Y50" s="114">
        <f>'Op Cost - Performance'!C40/'Revenue Hours'!B40</f>
        <v>66.464250896412693</v>
      </c>
      <c r="Z50" s="177">
        <f>'Op Cost - Performance'!D40/'Revenue Hours'!C40</f>
        <v>73.070531219122003</v>
      </c>
      <c r="AA50" s="177">
        <f>'Op Cost - Performance'!E40/'Revenue Hours'!D40</f>
        <v>77.638416815919683</v>
      </c>
      <c r="AB50" s="177">
        <f>'Op Cost - Performance'!F40/'Revenue Hours'!E40</f>
        <v>78.311995227606459</v>
      </c>
      <c r="AC50" s="178">
        <f t="shared" si="7"/>
        <v>0.99069376513119733</v>
      </c>
      <c r="AD50" s="179">
        <f t="shared" si="8"/>
        <v>7.800341219845297E-3</v>
      </c>
      <c r="AE50" s="113">
        <f t="shared" si="9"/>
        <v>7.7773412584758259E-3</v>
      </c>
      <c r="AF50" s="262">
        <f>'Op Cost - Performance'!C40/'Revenue Miles'!C40</f>
        <v>4.2989073047277451</v>
      </c>
      <c r="AG50" s="263">
        <f>'Op Cost - Performance'!D40/'Revenue Miles'!D40</f>
        <v>4.6838172238134641</v>
      </c>
      <c r="AH50" s="263">
        <f>'Op Cost - Performance'!E40/'Revenue Miles'!E40</f>
        <v>4.9701891764591233</v>
      </c>
      <c r="AI50" s="263">
        <f>'Op Cost - Performance'!F40/'Revenue Miles'!F40</f>
        <v>5.2048397443391785</v>
      </c>
      <c r="AJ50" s="178">
        <f t="shared" si="10"/>
        <v>0.99632627874431645</v>
      </c>
      <c r="AK50" s="179">
        <f t="shared" si="11"/>
        <v>7.7562436897037406E-3</v>
      </c>
      <c r="AL50" s="113">
        <f t="shared" si="12"/>
        <v>7.7481228298589989E-3</v>
      </c>
      <c r="AM50" s="262">
        <f>'Op Cost - Performance'!C40/'Ridership'!C40</f>
        <v>23.742865069386646</v>
      </c>
      <c r="AN50" s="263">
        <f>'Op Cost - Performance'!D40/'Ridership'!D40</f>
        <v>24.878536413443978</v>
      </c>
      <c r="AO50" s="263">
        <f>'Op Cost - Performance'!E40/'Ridership'!E40</f>
        <v>25.48083288230151</v>
      </c>
      <c r="AP50" s="263">
        <f>'Op Cost - Performance'!F40/'Ridership'!F40</f>
        <v>26.034706331045005</v>
      </c>
      <c r="AQ50" s="264">
        <f t="shared" si="13"/>
        <v>1.069170542358268</v>
      </c>
      <c r="AR50" s="179">
        <f t="shared" si="14"/>
        <v>7.2277986590909326E-3</v>
      </c>
      <c r="AS50" s="115">
        <f t="shared" si="15"/>
        <v>7.2026297984276403E-3</v>
      </c>
      <c r="AT50" s="111"/>
      <c r="AU50" s="116">
        <f t="shared" si="16"/>
        <v>1.4193949127138867E-3</v>
      </c>
      <c r="AV50" s="180">
        <f t="shared" si="17"/>
        <v>1.426251837279042E-3</v>
      </c>
      <c r="AW50" s="180">
        <f t="shared" si="18"/>
        <v>1.5554682516951653E-3</v>
      </c>
      <c r="AX50" s="180">
        <f t="shared" si="19"/>
        <v>1.5496245659717999E-3</v>
      </c>
      <c r="AY50" s="117">
        <f t="shared" si="20"/>
        <v>1.4405259596855281E-3</v>
      </c>
      <c r="AZ50" s="111"/>
      <c r="BA50" s="118">
        <f t="shared" si="21"/>
        <v>197012.28073093106</v>
      </c>
      <c r="BB50" s="181">
        <f t="shared" si="22"/>
        <v>197964.02314967645</v>
      </c>
      <c r="BC50" s="181">
        <f t="shared" si="23"/>
        <v>215899.28576332025</v>
      </c>
      <c r="BD50" s="181">
        <f t="shared" si="24"/>
        <v>215088.18108630422</v>
      </c>
      <c r="BE50" s="181">
        <f t="shared" si="25"/>
        <v>199945.27402323173</v>
      </c>
      <c r="BF50" s="119">
        <f t="shared" si="26"/>
        <v>1025909.0447534637</v>
      </c>
      <c r="BH50" s="257">
        <f>'Op Cost - Performance'!F40</f>
        <v>5119725</v>
      </c>
      <c r="BI50" s="182">
        <f t="shared" si="27"/>
        <v>0.20038362309566699</v>
      </c>
      <c r="BJ50" s="183">
        <f t="shared" si="28"/>
        <v>1025909.0447534637</v>
      </c>
      <c r="BK50" s="138">
        <f t="shared" si="29"/>
        <v>0</v>
      </c>
      <c r="BM50" s="52">
        <f t="shared" si="30"/>
        <v>1025909.0447534637</v>
      </c>
      <c r="BN50" s="184">
        <f t="shared" si="31"/>
        <v>8.4731047566114753E-3</v>
      </c>
      <c r="BO50" s="259">
        <f t="shared" si="32"/>
        <v>13869.056119103354</v>
      </c>
      <c r="BP50" s="259">
        <f t="shared" si="46"/>
        <v>1039778.100872567</v>
      </c>
      <c r="BQ50" s="185">
        <f>BP50/BH50</f>
        <v>0.20309256861893304</v>
      </c>
      <c r="BR50" s="142">
        <f t="shared" si="33"/>
        <v>0</v>
      </c>
      <c r="BS50" s="11"/>
      <c r="BT50" s="256">
        <f t="shared" si="34"/>
        <v>5119725</v>
      </c>
      <c r="BU50" s="186">
        <f t="shared" si="48"/>
        <v>0.20309256861893304</v>
      </c>
      <c r="BV50" s="187">
        <f t="shared" si="35"/>
        <v>1039778.100872567</v>
      </c>
      <c r="BW50" s="143">
        <f t="shared" si="36"/>
        <v>0</v>
      </c>
      <c r="BY50" s="52">
        <f t="shared" si="49"/>
        <v>1039778.100872567</v>
      </c>
      <c r="BZ50" s="188">
        <f t="shared" si="37"/>
        <v>8.473104756611477E-3</v>
      </c>
      <c r="CA50" s="189">
        <f t="shared" si="38"/>
        <v>0</v>
      </c>
      <c r="CB50" s="147">
        <f t="shared" si="50"/>
        <v>1039778.100872567</v>
      </c>
      <c r="CC50" s="190">
        <f t="shared" si="51"/>
        <v>0.20309256861893304</v>
      </c>
      <c r="CD50" s="148">
        <f t="shared" si="39"/>
        <v>0</v>
      </c>
      <c r="CE50" s="97"/>
      <c r="CF50" s="154">
        <f t="shared" si="40"/>
        <v>1535917.5</v>
      </c>
      <c r="CG50" s="189">
        <f t="shared" si="41"/>
        <v>0</v>
      </c>
      <c r="CH50" s="266">
        <f t="shared" si="42"/>
        <v>1039778.100872567</v>
      </c>
      <c r="CI50" s="155">
        <f t="shared" si="43"/>
        <v>0.20309256861893304</v>
      </c>
      <c r="CJ50" s="275">
        <v>971878.97171513084</v>
      </c>
      <c r="CK50" s="276">
        <f t="shared" si="44"/>
        <v>6.986377021576122E-2</v>
      </c>
      <c r="CL50" s="277">
        <f t="shared" si="52"/>
        <v>0.76986721674463021</v>
      </c>
      <c r="CM50" s="278">
        <f>'Ridership'!P40</f>
        <v>2.3408551563345686E-2</v>
      </c>
      <c r="CN50" s="277">
        <f t="shared" si="53"/>
        <v>0</v>
      </c>
      <c r="CO50" s="282"/>
    </row>
    <row r="51" spans="1:93" s="18" customFormat="1" ht="15" thickBot="1">
      <c r="A51" s="103"/>
      <c r="B51" s="241" t="s">
        <v>328</v>
      </c>
      <c r="C51" s="27"/>
      <c r="D51" s="255">
        <f t="shared" ref="D51:I51" si="90">SUM(D12:D50)</f>
        <v>648731914</v>
      </c>
      <c r="E51" s="102">
        <f t="shared" si="90"/>
        <v>58683534</v>
      </c>
      <c r="F51" s="102">
        <f t="shared" si="90"/>
        <v>4873590.9100194974</v>
      </c>
      <c r="G51" s="102">
        <f t="shared" si="90"/>
        <v>68543972.149694741</v>
      </c>
      <c r="H51" s="121">
        <f>SUM(H12:H50)</f>
        <v>1</v>
      </c>
      <c r="I51" s="122">
        <f t="shared" si="90"/>
        <v>1</v>
      </c>
      <c r="J51" s="123"/>
      <c r="K51" s="124">
        <f>'Ridership'!C41/'Revenue Hours'!B41</f>
        <v>9.0855066079191875</v>
      </c>
      <c r="L51" s="125">
        <f>'Ridership'!D41/'Revenue Hours'!C41</f>
        <v>10.753024574132743</v>
      </c>
      <c r="M51" s="125">
        <f>'Ridership'!E41/'Revenue Hours'!D41</f>
        <v>11.533150031603272</v>
      </c>
      <c r="N51" s="125">
        <f>'Ridership'!F41/'Revenue Hours'!E41</f>
        <v>12.253777206549536</v>
      </c>
      <c r="O51" s="126"/>
      <c r="P51" s="127">
        <f>SUM(P12:P50)</f>
        <v>1.0100776802545173</v>
      </c>
      <c r="Q51" s="128">
        <f>SUM(Q12:Q50)</f>
        <v>1.0000000000000002</v>
      </c>
      <c r="R51" s="193">
        <f>'Ridership'!C41/'Revenue Miles'!C41</f>
        <v>0.65446645508002665</v>
      </c>
      <c r="S51" s="125">
        <f>'Ridership'!D41/'Revenue Miles'!D41</f>
        <v>0.77773364837436298</v>
      </c>
      <c r="T51" s="125">
        <f>'Ridership'!E41/'Revenue Miles'!E41</f>
        <v>0.83670291408692321</v>
      </c>
      <c r="U51" s="125">
        <f>'Ridership'!F41/'Revenue Miles'!F41</f>
        <v>0.89035881291095931</v>
      </c>
      <c r="V51" s="126"/>
      <c r="W51" s="127">
        <f>SUM(W12:W50)</f>
        <v>1.0118360329907918</v>
      </c>
      <c r="X51" s="128">
        <f>SUM(X12:X50)</f>
        <v>1</v>
      </c>
      <c r="Y51" s="194">
        <f>'Op Cost - Performance'!C41/'Revenue Hours'!B41</f>
        <v>111.56121630071407</v>
      </c>
      <c r="Z51" s="129">
        <f>'Op Cost - Performance'!D41/'Revenue Hours'!C41</f>
        <v>121.67487817364328</v>
      </c>
      <c r="AA51" s="129">
        <f>'Op Cost - Performance'!E41/'Revenue Hours'!D41</f>
        <v>126.28042274288779</v>
      </c>
      <c r="AB51" s="129">
        <f>'Op Cost - Performance'!F41/'Revenue Hours'!E41</f>
        <v>135.46246790342337</v>
      </c>
      <c r="AC51" s="126"/>
      <c r="AD51" s="127">
        <f>SUM(AD12:AD50)</f>
        <v>1.0029573038658173</v>
      </c>
      <c r="AE51" s="128">
        <f>SUM(AE12:AE50)</f>
        <v>0.99999999999999944</v>
      </c>
      <c r="AF51" s="194">
        <f>'Op Cost - Performance'!C41/'Revenue Miles'!C41</f>
        <v>8.0362138191726302</v>
      </c>
      <c r="AG51" s="129">
        <f>'Op Cost - Performance'!D41/'Revenue Miles'!D41</f>
        <v>8.8003748401296598</v>
      </c>
      <c r="AH51" s="129">
        <f>'Op Cost - Performance'!E41/'Revenue Miles'!E41</f>
        <v>9.1613477160683967</v>
      </c>
      <c r="AI51" s="129">
        <f>'Op Cost - Performance'!F41/'Revenue Miles'!F41</f>
        <v>9.8426958547945418</v>
      </c>
      <c r="AJ51" s="126"/>
      <c r="AK51" s="127">
        <f>SUM(AK12:AK50)</f>
        <v>1.0010481067508954</v>
      </c>
      <c r="AL51" s="128">
        <f>SUM(AL12:AL50)</f>
        <v>0.99999999999999978</v>
      </c>
      <c r="AM51" s="194">
        <f>'Op Cost - Performance'!C41/'Ridership'!C41</f>
        <v>12.279030891185982</v>
      </c>
      <c r="AN51" s="129">
        <f>'Op Cost - Performance'!D41/'Ridership'!D41</f>
        <v>11.315409663095339</v>
      </c>
      <c r="AO51" s="129">
        <f>'Op Cost - Performance'!E41/'Ridership'!E41</f>
        <v>10.94934362224134</v>
      </c>
      <c r="AP51" s="129">
        <f>'Op Cost - Performance'!F41/'Ridership'!F41</f>
        <v>11.054751985454727</v>
      </c>
      <c r="AQ51" s="130"/>
      <c r="AR51" s="127">
        <f>SUM(AR12:AR50)</f>
        <v>1.0034943987637386</v>
      </c>
      <c r="AS51" s="131">
        <f>SUM(AS12:AS50)</f>
        <v>0.99999999999999978</v>
      </c>
      <c r="AT51" s="123"/>
      <c r="AU51" s="132">
        <f>SUM(AU12:AU50)</f>
        <v>0.20000000000000007</v>
      </c>
      <c r="AV51" s="133">
        <f>SUM(AV12:AV50)</f>
        <v>0.19999999999999996</v>
      </c>
      <c r="AW51" s="133">
        <f>SUM(AW12:AW50)</f>
        <v>0.2</v>
      </c>
      <c r="AX51" s="133">
        <f>SUM(AX12:AX50)</f>
        <v>0.19999999999999996</v>
      </c>
      <c r="AY51" s="134">
        <f>SUM(AY12:AY50)</f>
        <v>0.19999999999999998</v>
      </c>
      <c r="AZ51" s="123"/>
      <c r="BA51" s="135">
        <f t="shared" si="21"/>
        <v>27760037.600000009</v>
      </c>
      <c r="BB51" s="136">
        <f t="shared" si="22"/>
        <v>27760037.599999994</v>
      </c>
      <c r="BC51" s="136">
        <f t="shared" si="23"/>
        <v>27760037.600000001</v>
      </c>
      <c r="BD51" s="136">
        <f t="shared" si="24"/>
        <v>27760037.599999994</v>
      </c>
      <c r="BE51" s="136">
        <f t="shared" si="25"/>
        <v>27760037.599999998</v>
      </c>
      <c r="BF51" s="137">
        <f t="shared" si="26"/>
        <v>138800188</v>
      </c>
      <c r="BH51" s="258">
        <f>'Op Cost - Performance'!F41</f>
        <v>648731914</v>
      </c>
      <c r="BI51" s="139"/>
      <c r="BJ51" s="140">
        <f>SUM(BJ12:BJ50)</f>
        <v>137163355.16038695</v>
      </c>
      <c r="BK51" s="141">
        <f>SUM(BK12:BK50)</f>
        <v>1636832.8396130679</v>
      </c>
      <c r="BM51" s="255">
        <f>SUM(BM12:BM50)</f>
        <v>121078291.16038693</v>
      </c>
      <c r="BN51" s="101"/>
      <c r="BO51" s="260">
        <f>SUM(BO12:BO50)</f>
        <v>1636832.8396130677</v>
      </c>
      <c r="BP51" s="260">
        <f>SUM(BP12:BP50)</f>
        <v>138800188</v>
      </c>
      <c r="BQ51" s="105"/>
      <c r="BR51" s="106">
        <f>SUM(BR12:BR50)</f>
        <v>0</v>
      </c>
      <c r="BT51" s="261">
        <f>SUM(BT12:BT50)</f>
        <v>648731914</v>
      </c>
      <c r="BU51" s="144"/>
      <c r="BV51" s="145">
        <f>SUM(BV12:BV50)</f>
        <v>138800188</v>
      </c>
      <c r="BW51" s="146">
        <f t="shared" si="36"/>
        <v>0</v>
      </c>
      <c r="BX51" s="1"/>
      <c r="BY51" s="100">
        <f>SUM(BY12:BY50)</f>
        <v>122715123.99999997</v>
      </c>
      <c r="BZ51" s="149">
        <f t="shared" si="37"/>
        <v>1</v>
      </c>
      <c r="CA51" s="150">
        <f t="shared" si="38"/>
        <v>0</v>
      </c>
      <c r="CB51" s="151">
        <f>(CA51+BV51)</f>
        <v>138800188</v>
      </c>
      <c r="CC51" s="152">
        <f>CB51/BT51</f>
        <v>0.2139561581673628</v>
      </c>
      <c r="CD51" s="153">
        <f>SUM(CD12:CD50)</f>
        <v>0</v>
      </c>
      <c r="CE51" s="98"/>
      <c r="CF51" s="156">
        <f>SUM(CF12:CF50)</f>
        <v>194619574.20000002</v>
      </c>
      <c r="CG51" s="145">
        <f>SUM(CG12:CG50)</f>
        <v>0</v>
      </c>
      <c r="CH51" s="157">
        <f>SUM(CH12:CH50)</f>
        <v>138800188</v>
      </c>
      <c r="CI51" s="158">
        <f>AVERAGE(CI12:CI50)</f>
        <v>0.2321498303877062</v>
      </c>
      <c r="CJ51" s="270">
        <f>SUM(CJ12:CJ50)</f>
        <v>127252317.80000004</v>
      </c>
      <c r="CK51" s="271">
        <f>(CH51-CJ51)/CJ51</f>
        <v>9.0747818190231463E-2</v>
      </c>
      <c r="CN51" s="7" t="s">
        <v>329</v>
      </c>
      <c r="CO51" s="283">
        <f>SUM(CO12:CO50)</f>
        <v>1047333.1145523625</v>
      </c>
    </row>
    <row r="52" spans="1:93">
      <c r="B52" s="1">
        <v>1</v>
      </c>
      <c r="C52" s="1">
        <f>B52+1</f>
        <v>2</v>
      </c>
      <c r="D52" s="1">
        <f t="shared" ref="D52:BO52" si="91">C52+1</f>
        <v>3</v>
      </c>
      <c r="E52" s="1">
        <f t="shared" si="91"/>
        <v>4</v>
      </c>
      <c r="F52" s="1">
        <f t="shared" si="91"/>
        <v>5</v>
      </c>
      <c r="G52" s="1">
        <f t="shared" si="91"/>
        <v>6</v>
      </c>
      <c r="H52" s="1">
        <f t="shared" si="91"/>
        <v>7</v>
      </c>
      <c r="I52" s="1">
        <f t="shared" si="91"/>
        <v>8</v>
      </c>
      <c r="J52" s="1">
        <f t="shared" si="91"/>
        <v>9</v>
      </c>
      <c r="K52" s="1">
        <f t="shared" si="91"/>
        <v>10</v>
      </c>
      <c r="L52" s="1">
        <f t="shared" si="91"/>
        <v>11</v>
      </c>
      <c r="M52" s="1">
        <f t="shared" si="91"/>
        <v>12</v>
      </c>
      <c r="N52" s="1">
        <f t="shared" si="91"/>
        <v>13</v>
      </c>
      <c r="O52" s="1">
        <f t="shared" si="91"/>
        <v>14</v>
      </c>
      <c r="P52" s="1">
        <f t="shared" si="91"/>
        <v>15</v>
      </c>
      <c r="Q52" s="1">
        <f t="shared" si="91"/>
        <v>16</v>
      </c>
      <c r="R52" s="1">
        <f t="shared" si="91"/>
        <v>17</v>
      </c>
      <c r="S52" s="1">
        <f t="shared" si="91"/>
        <v>18</v>
      </c>
      <c r="T52" s="1">
        <f t="shared" si="91"/>
        <v>19</v>
      </c>
      <c r="U52" s="1">
        <f t="shared" si="91"/>
        <v>20</v>
      </c>
      <c r="V52" s="1">
        <f t="shared" si="91"/>
        <v>21</v>
      </c>
      <c r="W52" s="1">
        <f t="shared" si="91"/>
        <v>22</v>
      </c>
      <c r="X52" s="1">
        <f t="shared" si="91"/>
        <v>23</v>
      </c>
      <c r="Y52" s="1">
        <f t="shared" si="91"/>
        <v>24</v>
      </c>
      <c r="Z52" s="1">
        <f t="shared" si="91"/>
        <v>25</v>
      </c>
      <c r="AA52" s="1">
        <f t="shared" si="91"/>
        <v>26</v>
      </c>
      <c r="AB52" s="1">
        <f t="shared" si="91"/>
        <v>27</v>
      </c>
      <c r="AC52" s="1">
        <f t="shared" si="91"/>
        <v>28</v>
      </c>
      <c r="AD52" s="1">
        <f t="shared" si="91"/>
        <v>29</v>
      </c>
      <c r="AE52" s="1">
        <f t="shared" si="91"/>
        <v>30</v>
      </c>
      <c r="AF52" s="1">
        <f t="shared" si="91"/>
        <v>31</v>
      </c>
      <c r="AG52" s="1">
        <f t="shared" si="91"/>
        <v>32</v>
      </c>
      <c r="AH52" s="1">
        <f t="shared" si="91"/>
        <v>33</v>
      </c>
      <c r="AI52" s="1">
        <f t="shared" si="91"/>
        <v>34</v>
      </c>
      <c r="AJ52" s="1">
        <f t="shared" si="91"/>
        <v>35</v>
      </c>
      <c r="AK52" s="1">
        <f t="shared" si="91"/>
        <v>36</v>
      </c>
      <c r="AL52" s="1">
        <f t="shared" si="91"/>
        <v>37</v>
      </c>
      <c r="AM52" s="1">
        <f t="shared" si="91"/>
        <v>38</v>
      </c>
      <c r="AN52" s="1">
        <f t="shared" si="91"/>
        <v>39</v>
      </c>
      <c r="AO52" s="1">
        <f t="shared" si="91"/>
        <v>40</v>
      </c>
      <c r="AP52" s="1">
        <f t="shared" si="91"/>
        <v>41</v>
      </c>
      <c r="AQ52" s="1">
        <f t="shared" si="91"/>
        <v>42</v>
      </c>
      <c r="AR52" s="1">
        <f t="shared" si="91"/>
        <v>43</v>
      </c>
      <c r="AS52" s="1">
        <f t="shared" si="91"/>
        <v>44</v>
      </c>
      <c r="AT52" s="1">
        <f t="shared" si="91"/>
        <v>45</v>
      </c>
      <c r="AU52" s="1">
        <f t="shared" si="91"/>
        <v>46</v>
      </c>
      <c r="AV52" s="1">
        <f t="shared" si="91"/>
        <v>47</v>
      </c>
      <c r="AW52" s="1">
        <f t="shared" si="91"/>
        <v>48</v>
      </c>
      <c r="AX52" s="1">
        <f t="shared" si="91"/>
        <v>49</v>
      </c>
      <c r="AY52" s="1">
        <f t="shared" si="91"/>
        <v>50</v>
      </c>
      <c r="AZ52" s="1">
        <f t="shared" si="91"/>
        <v>51</v>
      </c>
      <c r="BA52" s="1">
        <f t="shared" si="91"/>
        <v>52</v>
      </c>
      <c r="BB52" s="1">
        <f t="shared" si="91"/>
        <v>53</v>
      </c>
      <c r="BC52" s="1">
        <f t="shared" si="91"/>
        <v>54</v>
      </c>
      <c r="BD52" s="1">
        <f t="shared" si="91"/>
        <v>55</v>
      </c>
      <c r="BE52" s="1">
        <f t="shared" si="91"/>
        <v>56</v>
      </c>
      <c r="BF52" s="1">
        <f t="shared" si="91"/>
        <v>57</v>
      </c>
      <c r="BG52" s="1">
        <f t="shared" si="91"/>
        <v>58</v>
      </c>
      <c r="BH52" s="1">
        <f t="shared" si="91"/>
        <v>59</v>
      </c>
      <c r="BI52" s="1">
        <f t="shared" si="91"/>
        <v>60</v>
      </c>
      <c r="BJ52" s="1">
        <f t="shared" si="91"/>
        <v>61</v>
      </c>
      <c r="BK52" s="1">
        <f t="shared" si="91"/>
        <v>62</v>
      </c>
      <c r="BL52" s="1">
        <f t="shared" si="91"/>
        <v>63</v>
      </c>
      <c r="BM52" s="1">
        <f t="shared" si="91"/>
        <v>64</v>
      </c>
      <c r="BN52" s="1">
        <f t="shared" si="91"/>
        <v>65</v>
      </c>
      <c r="BO52" s="1">
        <f t="shared" si="91"/>
        <v>66</v>
      </c>
      <c r="BP52" s="1">
        <f t="shared" ref="BP52:CH52" si="92">BO52+1</f>
        <v>67</v>
      </c>
      <c r="BQ52" s="1">
        <f t="shared" si="92"/>
        <v>68</v>
      </c>
      <c r="BR52" s="1">
        <f t="shared" si="92"/>
        <v>69</v>
      </c>
      <c r="BS52" s="1">
        <f t="shared" si="92"/>
        <v>70</v>
      </c>
      <c r="BT52" s="1">
        <f t="shared" si="92"/>
        <v>71</v>
      </c>
      <c r="BU52" s="1">
        <f t="shared" si="92"/>
        <v>72</v>
      </c>
      <c r="BV52" s="1">
        <f t="shared" si="92"/>
        <v>73</v>
      </c>
      <c r="BW52" s="1">
        <f t="shared" si="92"/>
        <v>74</v>
      </c>
      <c r="BX52" s="1">
        <f t="shared" si="92"/>
        <v>75</v>
      </c>
      <c r="BY52" s="1">
        <f t="shared" si="92"/>
        <v>76</v>
      </c>
      <c r="BZ52" s="1">
        <f t="shared" si="92"/>
        <v>77</v>
      </c>
      <c r="CA52" s="1">
        <f t="shared" si="92"/>
        <v>78</v>
      </c>
      <c r="CB52" s="1">
        <f t="shared" si="92"/>
        <v>79</v>
      </c>
      <c r="CC52" s="1">
        <f t="shared" si="92"/>
        <v>80</v>
      </c>
      <c r="CD52" s="1">
        <f t="shared" si="92"/>
        <v>81</v>
      </c>
      <c r="CE52" s="1">
        <f t="shared" si="92"/>
        <v>82</v>
      </c>
      <c r="CF52" s="1">
        <f t="shared" si="92"/>
        <v>83</v>
      </c>
      <c r="CG52" s="1">
        <f t="shared" si="92"/>
        <v>84</v>
      </c>
      <c r="CH52" s="1">
        <f t="shared" si="92"/>
        <v>85</v>
      </c>
    </row>
    <row r="53" spans="1:93">
      <c r="CH53" s="42"/>
      <c r="CI53" s="195"/>
      <c r="CJ53" s="196"/>
    </row>
    <row r="54" spans="1:93">
      <c r="CI54" s="195"/>
      <c r="CJ54" s="196"/>
    </row>
    <row r="55" spans="1:93">
      <c r="CI55" s="195"/>
      <c r="CJ55" s="196"/>
    </row>
  </sheetData>
  <mergeCells count="10">
    <mergeCell ref="BT3:CD3"/>
    <mergeCell ref="CF3:CI3"/>
    <mergeCell ref="AU3:AY3"/>
    <mergeCell ref="AU5:AY5"/>
    <mergeCell ref="BA3:BF3"/>
    <mergeCell ref="D3:I3"/>
    <mergeCell ref="B9:B11"/>
    <mergeCell ref="A9:A11"/>
    <mergeCell ref="K3:AS3"/>
    <mergeCell ref="BH3:BR3"/>
  </mergeCells>
  <conditionalFormatting sqref="BI12:BI50">
    <cfRule type="cellIs" dxfId="15" priority="6" operator="greaterThan">
      <formula>$BJ$6</formula>
    </cfRule>
  </conditionalFormatting>
  <conditionalFormatting sqref="BQ12:BQ50">
    <cfRule type="cellIs" dxfId="14" priority="9" operator="greaterThan">
      <formula>$BJ$6</formula>
    </cfRule>
  </conditionalFormatting>
  <conditionalFormatting sqref="BR12:BR50 CD12:CE50">
    <cfRule type="cellIs" dxfId="13" priority="10" operator="greaterThan">
      <formula>0</formula>
    </cfRule>
  </conditionalFormatting>
  <conditionalFormatting sqref="CC12:CC50">
    <cfRule type="cellIs" dxfId="12" priority="7" operator="greaterThan">
      <formula>$BJ$6</formula>
    </cfRule>
  </conditionalFormatting>
  <conditionalFormatting sqref="CI12:CI50">
    <cfRule type="cellIs" dxfId="11" priority="4" operator="equal">
      <formula>$BJ$6</formula>
    </cfRule>
    <cfRule type="cellIs" dxfId="10" priority="5" operator="greaterThan">
      <formula>$BJ$6</formula>
    </cfRule>
  </conditionalFormatting>
  <conditionalFormatting sqref="CL12:CL50">
    <cfRule type="cellIs" dxfId="9" priority="3" operator="lessThan">
      <formula>0</formula>
    </cfRule>
  </conditionalFormatting>
  <conditionalFormatting sqref="CN12:CN50">
    <cfRule type="cellIs" dxfId="8" priority="1" operator="greaterThan">
      <formula>1</formula>
    </cfRule>
    <cfRule type="cellIs" dxfId="7" priority="2" operator="lessThan">
      <formula>0</formula>
    </cfRule>
  </conditionalFormatting>
  <printOptions horizontalCentered="1"/>
  <pageMargins left="0.25" right="0.25" top="0.75" bottom="0.75" header="0.3" footer="0.3"/>
  <pageSetup paperSize="17" scale="18" orientation="landscape" r:id="rId1"/>
  <headerFooter alignWithMargins="0">
    <oddFooter>&amp;L&amp;F&amp;R&amp;D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38749-9269-4789-92AF-B98C2E7C82A3}">
  <sheetPr>
    <pageSetUpPr fitToPage="1"/>
  </sheetPr>
  <dimension ref="A1:CN53"/>
  <sheetViews>
    <sheetView zoomScale="50" zoomScaleNormal="50" workbookViewId="0">
      <pane xSplit="2" topLeftCell="CB1" activePane="topRight" state="frozen"/>
      <selection activeCell="F1" sqref="A1:F1048576"/>
      <selection pane="topRight" activeCell="F1" sqref="A1:F1048576"/>
    </sheetView>
  </sheetViews>
  <sheetFormatPr defaultColWidth="9.28515625" defaultRowHeight="14.25"/>
  <cols>
    <col min="1" max="1" width="21.28515625" style="543" customWidth="1"/>
    <col min="2" max="2" width="59" style="546" customWidth="1"/>
    <col min="3" max="3" width="5.85546875" style="546" customWidth="1"/>
    <col min="4" max="4" width="21.28515625" style="546" customWidth="1"/>
    <col min="5" max="5" width="17.42578125" style="546" customWidth="1"/>
    <col min="6" max="6" width="14.28515625" style="546" customWidth="1"/>
    <col min="7" max="7" width="13.5703125" style="546" customWidth="1"/>
    <col min="8" max="8" width="16.28515625" style="546" customWidth="1"/>
    <col min="9" max="9" width="17.42578125" style="2" customWidth="1"/>
    <col min="10" max="10" width="8" style="546" customWidth="1"/>
    <col min="11" max="11" width="8.7109375" style="546" customWidth="1"/>
    <col min="12" max="12" width="11.5703125" style="546" customWidth="1"/>
    <col min="13" max="14" width="8.7109375" style="546" customWidth="1"/>
    <col min="15" max="17" width="15.7109375" style="546" customWidth="1"/>
    <col min="18" max="21" width="8.7109375" style="546" customWidth="1"/>
    <col min="22" max="23" width="15.7109375" style="546" customWidth="1"/>
    <col min="24" max="24" width="15.7109375" style="549" customWidth="1"/>
    <col min="25" max="28" width="10.7109375" style="546" customWidth="1"/>
    <col min="29" max="30" width="15.7109375" style="546" customWidth="1"/>
    <col min="31" max="31" width="15.7109375" style="549" customWidth="1"/>
    <col min="32" max="35" width="8.7109375" style="546" customWidth="1"/>
    <col min="36" max="37" width="15.7109375" style="546" customWidth="1"/>
    <col min="38" max="38" width="15.7109375" style="549" customWidth="1"/>
    <col min="39" max="41" width="8.7109375" style="546" customWidth="1"/>
    <col min="42" max="42" width="9.28515625" style="546" customWidth="1"/>
    <col min="43" max="44" width="15.7109375" style="546" customWidth="1"/>
    <col min="45" max="45" width="15.7109375" style="549" customWidth="1"/>
    <col min="46" max="46" width="9.28515625" style="546" customWidth="1"/>
    <col min="47" max="51" width="17.7109375" style="546" customWidth="1"/>
    <col min="52" max="52" width="9.28515625" style="546" customWidth="1"/>
    <col min="53" max="53" width="20.28515625" style="546" customWidth="1"/>
    <col min="54" max="58" width="17.7109375" style="546" customWidth="1"/>
    <col min="59" max="59" width="14.28515625" style="546" bestFit="1" customWidth="1"/>
    <col min="60" max="60" width="15.7109375" style="550" customWidth="1"/>
    <col min="61" max="61" width="18.5703125" style="546" customWidth="1"/>
    <col min="62" max="62" width="23.5703125" style="546" customWidth="1"/>
    <col min="63" max="63" width="24.85546875" style="546" customWidth="1"/>
    <col min="64" max="64" width="9.28515625" style="546" customWidth="1"/>
    <col min="65" max="66" width="21.7109375" style="546" customWidth="1"/>
    <col min="67" max="67" width="18.42578125" style="546" customWidth="1"/>
    <col min="68" max="68" width="18.42578125" style="551" customWidth="1"/>
    <col min="69" max="69" width="20.5703125" style="551" customWidth="1"/>
    <col min="70" max="70" width="22.42578125" style="546" customWidth="1"/>
    <col min="71" max="71" width="12.42578125" style="546" customWidth="1"/>
    <col min="72" max="72" width="16.85546875" style="546" customWidth="1"/>
    <col min="73" max="73" width="15.140625" style="546" customWidth="1"/>
    <col min="74" max="74" width="18.28515625" style="546" customWidth="1"/>
    <col min="75" max="75" width="15.85546875" style="546" customWidth="1"/>
    <col min="76" max="76" width="9.28515625" style="546" customWidth="1"/>
    <col min="77" max="78" width="21.7109375" style="546" customWidth="1"/>
    <col min="79" max="79" width="18.42578125" style="546" customWidth="1"/>
    <col min="80" max="80" width="18.42578125" style="551" customWidth="1"/>
    <col min="81" max="81" width="19.140625" style="722" customWidth="1"/>
    <col min="82" max="83" width="18" style="723" customWidth="1"/>
    <col min="84" max="84" width="22.42578125" style="546" customWidth="1"/>
    <col min="85" max="85" width="17.5703125" style="546" customWidth="1"/>
    <col min="86" max="86" width="18.5703125" style="546" customWidth="1"/>
    <col min="87" max="87" width="17.28515625" style="546" customWidth="1"/>
    <col min="88" max="89" width="9.28515625" style="546"/>
    <col min="90" max="90" width="17.140625" style="546" customWidth="1"/>
    <col min="91" max="91" width="20.28515625" style="546" customWidth="1"/>
    <col min="92" max="92" width="17.140625" style="546" customWidth="1"/>
    <col min="93" max="16384" width="9.28515625" style="546"/>
  </cols>
  <sheetData>
    <row r="1" spans="1:92" s="534" customFormat="1" ht="20.25">
      <c r="A1" s="109" t="s">
        <v>330</v>
      </c>
      <c r="D1" s="535"/>
      <c r="G1" s="536"/>
      <c r="I1" s="77"/>
      <c r="X1" s="537"/>
      <c r="AE1" s="537"/>
      <c r="AL1" s="537"/>
      <c r="AS1" s="537"/>
      <c r="BH1" s="538"/>
      <c r="BM1" s="539"/>
      <c r="BP1" s="540"/>
      <c r="BQ1" s="540"/>
      <c r="BZ1" s="539"/>
      <c r="CA1" s="539"/>
      <c r="CB1" s="539"/>
      <c r="CC1" s="541"/>
      <c r="CD1" s="542"/>
      <c r="CE1" s="542"/>
      <c r="CG1" s="541"/>
      <c r="CH1" s="541"/>
      <c r="CI1" s="541"/>
    </row>
    <row r="2" spans="1:92" ht="15" customHeight="1">
      <c r="B2" s="544"/>
      <c r="C2" s="544"/>
      <c r="D2" s="545"/>
      <c r="E2" s="8"/>
      <c r="F2" s="543"/>
      <c r="G2" s="72"/>
      <c r="I2" s="9"/>
      <c r="M2" s="547"/>
      <c r="O2" s="548"/>
      <c r="P2" s="548"/>
      <c r="S2" s="547"/>
      <c r="Z2" s="547"/>
      <c r="AG2" s="547"/>
      <c r="AN2" s="547"/>
      <c r="CC2" s="552"/>
      <c r="CD2" s="541"/>
      <c r="CE2" s="541"/>
      <c r="CF2" s="541"/>
      <c r="CG2" s="541"/>
      <c r="CH2" s="541"/>
      <c r="CI2" s="541"/>
    </row>
    <row r="3" spans="1:92" s="552" customFormat="1" ht="15" customHeight="1">
      <c r="B3" s="553"/>
      <c r="C3" s="553"/>
      <c r="D3" s="1185" t="s">
        <v>241</v>
      </c>
      <c r="E3" s="1185"/>
      <c r="F3" s="1185"/>
      <c r="G3" s="1185"/>
      <c r="H3" s="1185"/>
      <c r="I3" s="1185"/>
      <c r="K3" s="1185" t="s">
        <v>242</v>
      </c>
      <c r="L3" s="1185"/>
      <c r="M3" s="1185"/>
      <c r="N3" s="1185"/>
      <c r="O3" s="1185"/>
      <c r="P3" s="1185"/>
      <c r="Q3" s="1185"/>
      <c r="R3" s="1185"/>
      <c r="S3" s="1185"/>
      <c r="T3" s="1185"/>
      <c r="U3" s="1185"/>
      <c r="V3" s="1185"/>
      <c r="W3" s="1185"/>
      <c r="X3" s="1185"/>
      <c r="Y3" s="1185"/>
      <c r="Z3" s="1185"/>
      <c r="AA3" s="1185"/>
      <c r="AB3" s="1185"/>
      <c r="AC3" s="1185"/>
      <c r="AD3" s="1185"/>
      <c r="AE3" s="1185"/>
      <c r="AF3" s="1185"/>
      <c r="AG3" s="1185"/>
      <c r="AH3" s="1185"/>
      <c r="AI3" s="1185"/>
      <c r="AJ3" s="1185"/>
      <c r="AK3" s="1185"/>
      <c r="AL3" s="1185"/>
      <c r="AM3" s="1185"/>
      <c r="AN3" s="1185"/>
      <c r="AO3" s="1185"/>
      <c r="AP3" s="1185"/>
      <c r="AQ3" s="1185"/>
      <c r="AR3" s="1185"/>
      <c r="AS3" s="1185"/>
      <c r="AU3" s="1185" t="s">
        <v>243</v>
      </c>
      <c r="AV3" s="1185"/>
      <c r="AW3" s="1185"/>
      <c r="AX3" s="1185"/>
      <c r="AY3" s="1185"/>
      <c r="AZ3" s="553"/>
      <c r="BA3" s="1185" t="s">
        <v>244</v>
      </c>
      <c r="BB3" s="1185"/>
      <c r="BC3" s="1185"/>
      <c r="BD3" s="1185"/>
      <c r="BE3" s="1185"/>
      <c r="BF3" s="1185"/>
      <c r="BH3" s="1185" t="s">
        <v>245</v>
      </c>
      <c r="BI3" s="1185"/>
      <c r="BJ3" s="1185"/>
      <c r="BK3" s="1185"/>
      <c r="BL3" s="1185"/>
      <c r="BM3" s="1185"/>
      <c r="BN3" s="1185"/>
      <c r="BO3" s="1185"/>
      <c r="BP3" s="1185"/>
      <c r="BQ3" s="1185"/>
      <c r="BR3" s="1185"/>
      <c r="BT3" s="1185" t="s">
        <v>246</v>
      </c>
      <c r="BU3" s="1185"/>
      <c r="BV3" s="1185"/>
      <c r="BW3" s="1185"/>
      <c r="BX3" s="1185"/>
      <c r="BY3" s="1185"/>
      <c r="BZ3" s="1185"/>
      <c r="CA3" s="1185"/>
      <c r="CB3" s="1185"/>
      <c r="CC3" s="1185"/>
      <c r="CD3" s="1185"/>
      <c r="CE3" s="554"/>
      <c r="CF3" s="1185" t="s">
        <v>247</v>
      </c>
      <c r="CG3" s="1185"/>
      <c r="CH3" s="1185"/>
      <c r="CI3" s="1185"/>
      <c r="CJ3" s="553"/>
      <c r="CL3" s="1185" t="s">
        <v>331</v>
      </c>
      <c r="CM3" s="1185"/>
    </row>
    <row r="4" spans="1:92" s="552" customFormat="1" ht="15" customHeight="1">
      <c r="B4" s="553"/>
      <c r="C4" s="553"/>
      <c r="D4" s="555"/>
      <c r="E4" s="555"/>
      <c r="F4" s="555"/>
      <c r="G4" s="555"/>
      <c r="H4" s="555"/>
      <c r="I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555"/>
      <c r="AH4" s="555"/>
      <c r="AI4" s="555"/>
      <c r="AJ4" s="555"/>
      <c r="AK4" s="555"/>
      <c r="AL4" s="555"/>
      <c r="AM4" s="555"/>
      <c r="AN4" s="555"/>
      <c r="AO4" s="555"/>
      <c r="AP4" s="555"/>
      <c r="AQ4" s="555"/>
      <c r="AR4" s="555"/>
      <c r="AS4" s="555"/>
      <c r="AU4" s="555"/>
      <c r="AV4" s="555"/>
      <c r="AW4" s="555"/>
      <c r="AX4" s="555"/>
      <c r="AY4" s="555"/>
      <c r="AZ4" s="553"/>
      <c r="BA4" s="555"/>
      <c r="BB4" s="555"/>
      <c r="BC4" s="555"/>
      <c r="BD4" s="555"/>
      <c r="BE4" s="555"/>
      <c r="BF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CB4" s="556"/>
      <c r="CC4" s="554"/>
      <c r="CD4" s="554"/>
      <c r="CE4" s="554"/>
      <c r="CF4" s="554"/>
      <c r="CG4" s="554"/>
      <c r="CH4" s="554"/>
      <c r="CI4" s="554"/>
    </row>
    <row r="5" spans="1:92" ht="15" customHeight="1">
      <c r="B5" s="544"/>
      <c r="C5" s="544"/>
      <c r="D5" s="557" t="s">
        <v>248</v>
      </c>
      <c r="E5" s="8"/>
      <c r="F5" s="543"/>
      <c r="G5" s="72"/>
      <c r="I5" s="9"/>
      <c r="M5" s="547"/>
      <c r="O5" s="548"/>
      <c r="P5" s="548"/>
      <c r="S5" s="547"/>
      <c r="Z5" s="547"/>
      <c r="AG5" s="547"/>
      <c r="AN5" s="547"/>
      <c r="AU5" s="1186" t="s">
        <v>249</v>
      </c>
      <c r="AV5" s="1187"/>
      <c r="AW5" s="1187"/>
      <c r="AX5" s="1187"/>
      <c r="AY5" s="1188"/>
      <c r="BA5" s="558" t="s">
        <v>250</v>
      </c>
      <c r="BJ5" s="558" t="s">
        <v>251</v>
      </c>
      <c r="BM5" s="558" t="s">
        <v>252</v>
      </c>
      <c r="BZ5" s="558" t="s">
        <v>253</v>
      </c>
      <c r="CC5" s="559"/>
      <c r="CD5" s="559"/>
      <c r="CE5" s="559"/>
      <c r="CF5" s="559"/>
      <c r="CG5" s="559"/>
      <c r="CH5" s="559"/>
      <c r="CI5" s="559"/>
    </row>
    <row r="6" spans="1:92">
      <c r="B6" s="560"/>
      <c r="C6" s="560"/>
      <c r="D6" s="561">
        <v>0.5</v>
      </c>
      <c r="E6" s="561">
        <v>0.3</v>
      </c>
      <c r="F6" s="561">
        <v>0.1</v>
      </c>
      <c r="G6" s="561">
        <v>0.1</v>
      </c>
      <c r="I6" s="9"/>
      <c r="M6" s="547"/>
      <c r="O6" s="548"/>
      <c r="P6" s="548"/>
      <c r="S6" s="547"/>
      <c r="Z6" s="547"/>
      <c r="AG6" s="547"/>
      <c r="AN6" s="547"/>
      <c r="AU6" s="562">
        <v>0.2</v>
      </c>
      <c r="AV6" s="562">
        <v>0.2</v>
      </c>
      <c r="AW6" s="562">
        <v>0.2</v>
      </c>
      <c r="AX6" s="562">
        <v>0.2</v>
      </c>
      <c r="AY6" s="562">
        <v>0.2</v>
      </c>
      <c r="AZ6" s="563"/>
      <c r="BA6" s="564">
        <v>126704869</v>
      </c>
      <c r="BB6" s="546" t="s">
        <v>332</v>
      </c>
      <c r="BJ6" s="565">
        <v>0.3</v>
      </c>
      <c r="BM6" s="566">
        <f>$BK$50</f>
        <v>2875081.3952290379</v>
      </c>
      <c r="BZ6" s="566">
        <f>BW50</f>
        <v>0</v>
      </c>
      <c r="CC6" s="559"/>
      <c r="CD6" s="559"/>
      <c r="CE6" s="559"/>
      <c r="CF6" s="559"/>
      <c r="CG6" s="559"/>
      <c r="CH6" s="559"/>
      <c r="CI6" s="559"/>
    </row>
    <row r="7" spans="1:92">
      <c r="B7" s="560"/>
      <c r="C7" s="560"/>
      <c r="D7" s="567"/>
      <c r="E7" s="567"/>
      <c r="F7" s="567"/>
      <c r="G7" s="567"/>
      <c r="I7" s="9"/>
      <c r="M7" s="547"/>
      <c r="O7" s="548"/>
      <c r="P7" s="548"/>
      <c r="S7" s="547"/>
      <c r="Z7" s="547"/>
      <c r="AG7" s="547"/>
      <c r="AN7" s="547"/>
      <c r="AU7" s="568"/>
      <c r="AV7" s="568"/>
      <c r="AW7" s="568"/>
      <c r="AX7" s="568"/>
      <c r="AY7" s="568"/>
      <c r="AZ7" s="563"/>
      <c r="BA7" s="569"/>
      <c r="BJ7" s="570"/>
      <c r="BM7" s="571"/>
      <c r="BZ7" s="571"/>
      <c r="CC7" s="559"/>
      <c r="CD7" s="559"/>
      <c r="CE7" s="559"/>
      <c r="CF7" s="559"/>
      <c r="CG7" s="559"/>
      <c r="CH7" s="559"/>
      <c r="CI7" s="559"/>
    </row>
    <row r="8" spans="1:92" ht="15" customHeight="1" thickBot="1">
      <c r="A8" s="546"/>
      <c r="D8" s="572" t="s">
        <v>333</v>
      </c>
      <c r="I8" s="108" t="s">
        <v>256</v>
      </c>
      <c r="K8" s="572" t="s">
        <v>334</v>
      </c>
      <c r="BY8" s="573"/>
      <c r="CC8" s="559"/>
      <c r="CD8" s="559"/>
      <c r="CE8" s="559"/>
      <c r="CF8" s="559"/>
      <c r="CG8" s="559"/>
      <c r="CH8" s="559"/>
      <c r="CI8" s="559"/>
    </row>
    <row r="9" spans="1:92" s="563" customFormat="1">
      <c r="A9" s="1189" t="s">
        <v>210</v>
      </c>
      <c r="B9" s="1176" t="s">
        <v>258</v>
      </c>
      <c r="C9" s="574"/>
      <c r="D9" s="575" t="s">
        <v>259</v>
      </c>
      <c r="E9" s="576"/>
      <c r="F9" s="576"/>
      <c r="G9" s="576"/>
      <c r="H9" s="577"/>
      <c r="I9" s="64"/>
      <c r="K9" s="578" t="s">
        <v>260</v>
      </c>
      <c r="L9" s="578"/>
      <c r="M9" s="578"/>
      <c r="N9" s="578"/>
      <c r="O9" s="578"/>
      <c r="P9" s="578"/>
      <c r="Q9" s="579"/>
      <c r="R9" s="580" t="s">
        <v>261</v>
      </c>
      <c r="S9" s="578"/>
      <c r="T9" s="578"/>
      <c r="U9" s="578"/>
      <c r="V9" s="578"/>
      <c r="W9" s="578"/>
      <c r="X9" s="579"/>
      <c r="Y9" s="580" t="s">
        <v>262</v>
      </c>
      <c r="Z9" s="578"/>
      <c r="AA9" s="578"/>
      <c r="AB9" s="578"/>
      <c r="AC9" s="578"/>
      <c r="AD9" s="578"/>
      <c r="AE9" s="579"/>
      <c r="AF9" s="580" t="s">
        <v>263</v>
      </c>
      <c r="AG9" s="578"/>
      <c r="AH9" s="578"/>
      <c r="AI9" s="578"/>
      <c r="AJ9" s="578"/>
      <c r="AK9" s="578"/>
      <c r="AL9" s="579"/>
      <c r="AM9" s="580" t="s">
        <v>264</v>
      </c>
      <c r="AN9" s="578"/>
      <c r="AO9" s="578"/>
      <c r="AP9" s="578"/>
      <c r="AQ9" s="578"/>
      <c r="AR9" s="578"/>
      <c r="AS9" s="578"/>
      <c r="BA9" s="581"/>
      <c r="BB9" s="581"/>
      <c r="BC9" s="581"/>
      <c r="BD9" s="581"/>
      <c r="BE9" s="581"/>
      <c r="BH9" s="582"/>
      <c r="BI9" s="573"/>
      <c r="BM9" s="573"/>
      <c r="BN9" s="583"/>
      <c r="BO9" s="583"/>
      <c r="BP9" s="584"/>
      <c r="BQ9" s="573"/>
      <c r="BU9" s="573"/>
      <c r="BY9" s="583" t="s">
        <v>265</v>
      </c>
      <c r="BZ9" s="583"/>
      <c r="CA9" s="583"/>
      <c r="CB9" s="584"/>
      <c r="CC9" s="573"/>
      <c r="CD9" s="573"/>
      <c r="CE9" s="585"/>
      <c r="CF9" s="573"/>
      <c r="CG9" s="573"/>
      <c r="CH9" s="573"/>
      <c r="CI9" s="573"/>
    </row>
    <row r="10" spans="1:92" s="592" customFormat="1" ht="15" thickBot="1">
      <c r="A10" s="1190"/>
      <c r="B10" s="1177"/>
      <c r="C10" s="159"/>
      <c r="D10" s="586">
        <f>D$6</f>
        <v>0.5</v>
      </c>
      <c r="E10" s="586">
        <f>E$6</f>
        <v>0.3</v>
      </c>
      <c r="F10" s="586">
        <f>F$6</f>
        <v>0.1</v>
      </c>
      <c r="G10" s="586">
        <f>G$6</f>
        <v>0.1</v>
      </c>
      <c r="H10" s="586"/>
      <c r="I10" s="587"/>
      <c r="J10" s="563"/>
      <c r="K10" s="588" t="s">
        <v>266</v>
      </c>
      <c r="L10" s="589"/>
      <c r="M10" s="589"/>
      <c r="N10" s="589"/>
      <c r="O10" s="589"/>
      <c r="P10" s="589"/>
      <c r="Q10" s="590"/>
      <c r="R10" s="591" t="s">
        <v>267</v>
      </c>
      <c r="S10" s="589"/>
      <c r="T10" s="589"/>
      <c r="U10" s="589"/>
      <c r="V10" s="589"/>
      <c r="W10" s="589"/>
      <c r="X10" s="590"/>
      <c r="Y10" s="591" t="s">
        <v>268</v>
      </c>
      <c r="Z10" s="589"/>
      <c r="AA10" s="589"/>
      <c r="AB10" s="589"/>
      <c r="AC10" s="589"/>
      <c r="AD10" s="589"/>
      <c r="AE10" s="590"/>
      <c r="AF10" s="591" t="s">
        <v>269</v>
      </c>
      <c r="AG10" s="589"/>
      <c r="AH10" s="589"/>
      <c r="AI10" s="589"/>
      <c r="AJ10" s="589"/>
      <c r="AK10" s="589"/>
      <c r="AL10" s="590"/>
      <c r="AM10" s="591" t="s">
        <v>270</v>
      </c>
      <c r="AN10" s="589"/>
      <c r="AO10" s="589"/>
      <c r="AP10" s="589"/>
      <c r="AQ10" s="589"/>
      <c r="AR10" s="589"/>
      <c r="AS10" s="589"/>
      <c r="BH10" s="593" t="s">
        <v>271</v>
      </c>
      <c r="BM10" s="593" t="s">
        <v>272</v>
      </c>
      <c r="BP10" s="594"/>
      <c r="BQ10" s="594"/>
      <c r="BR10" s="593"/>
      <c r="BT10" s="593" t="s">
        <v>273</v>
      </c>
      <c r="BY10" s="593" t="s">
        <v>274</v>
      </c>
      <c r="CB10" s="594"/>
      <c r="CD10" s="595"/>
      <c r="CE10" s="595"/>
      <c r="CF10" s="596" t="s">
        <v>275</v>
      </c>
    </row>
    <row r="11" spans="1:92" s="599" customFormat="1" ht="101.25" customHeight="1">
      <c r="A11" s="1191"/>
      <c r="B11" s="1178"/>
      <c r="C11" s="83"/>
      <c r="D11" s="597" t="s">
        <v>335</v>
      </c>
      <c r="E11" s="598" t="s">
        <v>336</v>
      </c>
      <c r="F11" s="598" t="s">
        <v>337</v>
      </c>
      <c r="G11" s="598" t="s">
        <v>338</v>
      </c>
      <c r="H11" s="598" t="s">
        <v>280</v>
      </c>
      <c r="I11" s="68" t="s">
        <v>281</v>
      </c>
      <c r="K11" s="600">
        <v>2021</v>
      </c>
      <c r="L11" s="601">
        <v>2022</v>
      </c>
      <c r="M11" s="601">
        <v>2023</v>
      </c>
      <c r="N11" s="601">
        <v>2024</v>
      </c>
      <c r="O11" s="602" t="s">
        <v>282</v>
      </c>
      <c r="P11" s="602" t="s">
        <v>283</v>
      </c>
      <c r="Q11" s="603" t="s">
        <v>284</v>
      </c>
      <c r="R11" s="601">
        <v>2021</v>
      </c>
      <c r="S11" s="601">
        <v>2022</v>
      </c>
      <c r="T11" s="601">
        <v>2023</v>
      </c>
      <c r="U11" s="601">
        <v>2024</v>
      </c>
      <c r="V11" s="602" t="s">
        <v>285</v>
      </c>
      <c r="W11" s="602" t="s">
        <v>286</v>
      </c>
      <c r="X11" s="603" t="s">
        <v>284</v>
      </c>
      <c r="Y11" s="601">
        <v>2021</v>
      </c>
      <c r="Z11" s="601">
        <v>2022</v>
      </c>
      <c r="AA11" s="601">
        <v>2023</v>
      </c>
      <c r="AB11" s="601">
        <v>2024</v>
      </c>
      <c r="AC11" s="602" t="s">
        <v>287</v>
      </c>
      <c r="AD11" s="602" t="s">
        <v>288</v>
      </c>
      <c r="AE11" s="603" t="s">
        <v>284</v>
      </c>
      <c r="AF11" s="601">
        <v>2021</v>
      </c>
      <c r="AG11" s="601">
        <v>2022</v>
      </c>
      <c r="AH11" s="601">
        <v>2023</v>
      </c>
      <c r="AI11" s="601">
        <v>2024</v>
      </c>
      <c r="AJ11" s="602" t="s">
        <v>289</v>
      </c>
      <c r="AK11" s="602" t="s">
        <v>290</v>
      </c>
      <c r="AL11" s="603" t="s">
        <v>284</v>
      </c>
      <c r="AM11" s="601">
        <v>2021</v>
      </c>
      <c r="AN11" s="601">
        <v>2022</v>
      </c>
      <c r="AO11" s="601">
        <v>2023</v>
      </c>
      <c r="AP11" s="601">
        <v>2024</v>
      </c>
      <c r="AQ11" s="602" t="s">
        <v>291</v>
      </c>
      <c r="AR11" s="602" t="s">
        <v>292</v>
      </c>
      <c r="AS11" s="604" t="s">
        <v>284</v>
      </c>
      <c r="AU11" s="605" t="s">
        <v>293</v>
      </c>
      <c r="AV11" s="606" t="s">
        <v>294</v>
      </c>
      <c r="AW11" s="606" t="s">
        <v>295</v>
      </c>
      <c r="AX11" s="606" t="s">
        <v>296</v>
      </c>
      <c r="AY11" s="607" t="s">
        <v>297</v>
      </c>
      <c r="BA11" s="608" t="s">
        <v>298</v>
      </c>
      <c r="BB11" s="609" t="s">
        <v>299</v>
      </c>
      <c r="BC11" s="609" t="s">
        <v>300</v>
      </c>
      <c r="BD11" s="609" t="s">
        <v>301</v>
      </c>
      <c r="BE11" s="609" t="s">
        <v>302</v>
      </c>
      <c r="BF11" s="610" t="s">
        <v>303</v>
      </c>
      <c r="BH11" s="611" t="s">
        <v>304</v>
      </c>
      <c r="BI11" s="612" t="s">
        <v>305</v>
      </c>
      <c r="BJ11" s="612" t="s">
        <v>306</v>
      </c>
      <c r="BK11" s="613" t="s">
        <v>307</v>
      </c>
      <c r="BM11" s="611" t="s">
        <v>308</v>
      </c>
      <c r="BN11" s="612" t="s">
        <v>309</v>
      </c>
      <c r="BO11" s="612" t="s">
        <v>310</v>
      </c>
      <c r="BP11" s="614" t="s">
        <v>311</v>
      </c>
      <c r="BQ11" s="612" t="s">
        <v>312</v>
      </c>
      <c r="BR11" s="615" t="s">
        <v>313</v>
      </c>
      <c r="BT11" s="616" t="s">
        <v>304</v>
      </c>
      <c r="BU11" s="617" t="s">
        <v>305</v>
      </c>
      <c r="BV11" s="617" t="s">
        <v>306</v>
      </c>
      <c r="BW11" s="618" t="s">
        <v>307</v>
      </c>
      <c r="BY11" s="616" t="s">
        <v>308</v>
      </c>
      <c r="BZ11" s="617" t="s">
        <v>309</v>
      </c>
      <c r="CA11" s="617" t="s">
        <v>310</v>
      </c>
      <c r="CB11" s="618" t="s">
        <v>314</v>
      </c>
      <c r="CC11" s="617" t="s">
        <v>315</v>
      </c>
      <c r="CD11" s="618" t="s">
        <v>316</v>
      </c>
      <c r="CE11" s="619"/>
      <c r="CF11" s="620" t="s">
        <v>317</v>
      </c>
      <c r="CG11" s="621" t="s">
        <v>318</v>
      </c>
      <c r="CH11" s="621" t="s">
        <v>319</v>
      </c>
      <c r="CI11" s="622" t="s">
        <v>320</v>
      </c>
      <c r="CL11" s="623" t="s">
        <v>339</v>
      </c>
      <c r="CM11" s="624" t="s">
        <v>340</v>
      </c>
      <c r="CN11" s="624" t="s">
        <v>341</v>
      </c>
    </row>
    <row r="12" spans="1:92">
      <c r="A12" s="625" t="s">
        <v>219</v>
      </c>
      <c r="B12" s="626" t="s">
        <v>23</v>
      </c>
      <c r="C12" s="27"/>
      <c r="D12" s="627">
        <v>2553471</v>
      </c>
      <c r="E12" s="175">
        <v>124617</v>
      </c>
      <c r="F12" s="175">
        <v>31601</v>
      </c>
      <c r="G12" s="175">
        <v>650766</v>
      </c>
      <c r="H12" s="176">
        <f t="shared" ref="H12:H49" si="0">IFERROR($D$10*(D12/D$50),0) + IFERROR($E$10*(E12/E$50),0) + IFERROR($F$10*(F12/F$50),0) + IFERROR($G$10*(G12/G$50),0)</f>
        <v>4.6100442352374604E-3</v>
      </c>
      <c r="I12" s="110">
        <f t="shared" ref="I12:I49" si="1">H12/(SUM($H$12:$H$49))</f>
        <v>4.6100442352374612E-3</v>
      </c>
      <c r="J12" s="628"/>
      <c r="K12" s="629">
        <v>3.0233116215289679</v>
      </c>
      <c r="L12" s="630">
        <v>3.1691372472531043</v>
      </c>
      <c r="M12" s="630">
        <v>3.6951123254401943</v>
      </c>
      <c r="N12" s="630">
        <v>3.9434511566089681</v>
      </c>
      <c r="O12" s="631">
        <f t="shared" ref="O12:O49" si="2">IF(K12=0,IF(L12=0,1,AVERAGE(1,(M12/L12)/($M$50/$L$50),(N12/M12)/($N$50/$M$50))), AVERAGE((L12/K12)/($L$50/$K$50),(M12/L12)/($M$50/$L$50),(N12/M12)/($N$50/$M$50)))</f>
        <v>0.93176116753380356</v>
      </c>
      <c r="P12" s="632">
        <f t="shared" ref="P12:P49" si="3">$I12*O12</f>
        <v>4.2954601990073376E-3</v>
      </c>
      <c r="Q12" s="113">
        <f t="shared" ref="Q12:Q49" si="4">P12/SUM($P$12:$P$49)</f>
        <v>4.1576584667765409E-3</v>
      </c>
      <c r="R12" s="633">
        <v>0.1472857600940598</v>
      </c>
      <c r="S12" s="630">
        <v>0.15372497942218116</v>
      </c>
      <c r="T12" s="630">
        <v>0.17586518789083722</v>
      </c>
      <c r="U12" s="630">
        <v>0.19149279464507979</v>
      </c>
      <c r="V12" s="631">
        <f t="shared" ref="V12:V49" si="5">IF(R12=0,IF(S12=0,1,AVERAGE(1,(T12/S12)/($T$50/$S$50),(U12/T12)/($U$50/$T$50))), AVERAGE((S12/R12)/($S$50/$R$50),(T12/S12)/($T$50/$S$50),(U12/T12)/($U$50/$T$50)))</f>
        <v>0.9347970958451205</v>
      </c>
      <c r="W12" s="632">
        <f t="shared" ref="W12:W49" si="6">$I12*V12</f>
        <v>4.3094559628175187E-3</v>
      </c>
      <c r="X12" s="113">
        <f t="shared" ref="X12:X49" si="7">W12/SUM($W$12:$W$49)</f>
        <v>4.176653707221872E-3</v>
      </c>
      <c r="Y12" s="633">
        <v>64.628076791223862</v>
      </c>
      <c r="Z12" s="630">
        <v>74.945094597230351</v>
      </c>
      <c r="AA12" s="630">
        <v>75.894444444444446</v>
      </c>
      <c r="AB12" s="630">
        <v>80.803487231416725</v>
      </c>
      <c r="AC12" s="631">
        <f t="shared" ref="AC12:AC49" si="8">IF(Y12=0,IF(Z12=0,1,AVERAGE(1,(AA12/Z12)/($AA$50/$AA$50),(AB12/AA12)/($AB$50/$AA$50))), AVERAGE((Z12/Y12)/($Z$50/$Y$50),(AA12/Z12)/($AA$50/$Z$50),(AB12/AA12)/($AB$50/$AA$50)))</f>
        <v>1.0336474299505864</v>
      </c>
      <c r="AD12" s="632">
        <f t="shared" ref="AD12:AD49" si="9">$I12*(1/AC12)</f>
        <v>4.459977456198817E-3</v>
      </c>
      <c r="AE12" s="113">
        <f t="shared" ref="AE12:AE49" si="10">AD12/SUM($AD$12:$AD$49)</f>
        <v>4.4666333681354312E-3</v>
      </c>
      <c r="AF12" s="633">
        <v>3.148466517916789</v>
      </c>
      <c r="AG12" s="630">
        <v>3.6353531658304137</v>
      </c>
      <c r="AH12" s="630">
        <v>3.61212043276733</v>
      </c>
      <c r="AI12" s="630">
        <v>3.9237928840781477</v>
      </c>
      <c r="AJ12" s="631">
        <f t="shared" ref="AJ12:AJ49" si="11">IF(AF12=0,IF(AG12=0,1,AVERAGE(1,(AH12/AG12)/($AH$50/$AG$50),(AI12/AH12)/($AI$50/$AH$50))), AVERAGE((AG12/AF12)/($AG$50/$AF$50),(AH12/AG12)/($AH$50/$AG$50),(AI12/AH12)/($AI$50/$AH$50)))</f>
        <v>1.0389409184023559</v>
      </c>
      <c r="AK12" s="632">
        <f t="shared" ref="AK12:AK49" si="12">$I12*(1/AJ12)</f>
        <v>4.4372535084349291E-3</v>
      </c>
      <c r="AL12" s="113">
        <f t="shared" ref="AL12:AL49" si="13">AK12/SUM($AK$12:$AK$49)</f>
        <v>4.4439193456066051E-3</v>
      </c>
      <c r="AM12" s="633">
        <v>21.37658464678535</v>
      </c>
      <c r="AN12" s="630">
        <v>23.64842187323698</v>
      </c>
      <c r="AO12" s="630">
        <v>20.53914408012028</v>
      </c>
      <c r="AP12" s="630">
        <v>20.490551048412335</v>
      </c>
      <c r="AQ12" s="634">
        <f t="shared" ref="AQ12:AQ49" si="14">IF(AM12=0,IF(AN12=0,1,AVERAGE(1,(AO12/AN12)/($AO$50/$AN$50),(AP12/AO12)/($AP$50/$AO$50))), AVERAGE((AN12/AM12)/($AN$50/$AM$50),(AO12/AN12)/($AO$50/$AN$50),(AP12/AO12)/($AP$50/$AO$50)))</f>
        <v>1.1261773463790854</v>
      </c>
      <c r="AR12" s="632">
        <f t="shared" ref="AR12:AR49" si="15">$I12*(1/AQ12)</f>
        <v>4.0935330923320334E-3</v>
      </c>
      <c r="AS12" s="115">
        <f t="shared" ref="AS12:AS49" si="16">AR12/SUM($AR$12:$AR$49)</f>
        <v>4.1184498011431411E-3</v>
      </c>
      <c r="AT12" s="628"/>
      <c r="AU12" s="635">
        <f t="shared" ref="AU12:AU49" si="17">Q12*AU$6</f>
        <v>8.3153169335530822E-4</v>
      </c>
      <c r="AV12" s="636">
        <f t="shared" ref="AV12:AV49" si="18">X12*AV$6</f>
        <v>8.3533074144437444E-4</v>
      </c>
      <c r="AW12" s="636">
        <f t="shared" ref="AW12:AW49" si="19">AE12*AW$6</f>
        <v>8.9332667362708625E-4</v>
      </c>
      <c r="AX12" s="636">
        <f t="shared" ref="AX12:AX49" si="20">AL12*AX$6</f>
        <v>8.8878386912132111E-4</v>
      </c>
      <c r="AY12" s="637">
        <f t="shared" ref="AY12:AY49" si="21">AS12*AY$6</f>
        <v>8.2368996022862823E-4</v>
      </c>
      <c r="AZ12" s="638">
        <f>(SUM(AU12:AY12)-I12)/I12</f>
        <v>-7.3183960987169269E-2</v>
      </c>
      <c r="BA12" s="639">
        <f t="shared" ref="BA12:BE50" si="22">AU12*$BA$6</f>
        <v>105359.1142759325</v>
      </c>
      <c r="BB12" s="640">
        <f t="shared" si="22"/>
        <v>105840.47216638233</v>
      </c>
      <c r="BC12" s="640">
        <f t="shared" si="22"/>
        <v>113188.83915612572</v>
      </c>
      <c r="BD12" s="640">
        <f t="shared" si="22"/>
        <v>112613.24370633013</v>
      </c>
      <c r="BE12" s="640">
        <f t="shared" si="22"/>
        <v>104365.52850738355</v>
      </c>
      <c r="BF12" s="641">
        <f t="shared" ref="BF12:BF50" si="23">SUM(BA12:BE12)</f>
        <v>541367.19781215431</v>
      </c>
      <c r="BH12" s="642">
        <v>2553471</v>
      </c>
      <c r="BI12" s="643">
        <f t="shared" ref="BI12:BI49" si="24">BF12/BH12</f>
        <v>0.21201227576587098</v>
      </c>
      <c r="BJ12" s="644">
        <f t="shared" ref="BJ12:BJ49" si="25">IF(BF12&gt;BH12*$BJ$6,BH12*$BJ$6,BF12)</f>
        <v>541367.19781215431</v>
      </c>
      <c r="BK12" s="645">
        <f t="shared" ref="BK12:BK49" si="26">BF12-BJ12</f>
        <v>0</v>
      </c>
      <c r="BM12" s="646">
        <f t="shared" ref="BM12:BM49" si="27">IF(OR(BK12&gt;0,BI12&gt;=$BJ$6),0,BJ12)</f>
        <v>541367.19781215431</v>
      </c>
      <c r="BN12" s="647">
        <f t="shared" ref="BN12:BN49" si="28">BM12/$BM$50</f>
        <v>4.6746547476896345E-3</v>
      </c>
      <c r="BO12" s="648">
        <f t="shared" ref="BO12:BO49" si="29">BN12*$BM$6</f>
        <v>13440.01289420156</v>
      </c>
      <c r="BP12" s="648">
        <f>(BO12+BJ12)</f>
        <v>554807.21070635587</v>
      </c>
      <c r="BQ12" s="649">
        <f>BP12/BH12</f>
        <v>0.21727570460222806</v>
      </c>
      <c r="BR12" s="142">
        <f t="shared" ref="BR12:BR49" si="30">IF(BP12&gt;($BJ$6*BH12),1,0)</f>
        <v>0</v>
      </c>
      <c r="BS12" s="548"/>
      <c r="BT12" s="650">
        <f t="shared" ref="BT12:BT49" si="31">BH12</f>
        <v>2553471</v>
      </c>
      <c r="BU12" s="186">
        <f>BP12/BT12</f>
        <v>0.21727570460222806</v>
      </c>
      <c r="BV12" s="651">
        <f t="shared" ref="BV12:BV49" si="32">IF(BP12&gt;BH12*$BJ$6,BH12*$BJ$6,BP12)</f>
        <v>554807.21070635587</v>
      </c>
      <c r="BW12" s="652">
        <f t="shared" ref="BW12:BW50" si="33">BP12-BV12</f>
        <v>0</v>
      </c>
      <c r="BY12" s="646">
        <f>IF(OR(BW12&gt;0,BU12&gt;=$BJ$6),0,BV12)</f>
        <v>554807.21070635587</v>
      </c>
      <c r="BZ12" s="653">
        <f t="shared" ref="BZ12:BZ50" si="34">BY12/$BY$50</f>
        <v>4.6746547476896336E-3</v>
      </c>
      <c r="CA12" s="654">
        <f t="shared" ref="CA12:CA50" si="35">BZ12*$BZ$6</f>
        <v>0</v>
      </c>
      <c r="CB12" s="655">
        <f>(CA12+BV12)</f>
        <v>554807.21070635587</v>
      </c>
      <c r="CC12" s="190">
        <f>CB12/BT12</f>
        <v>0.21727570460222806</v>
      </c>
      <c r="CD12" s="656">
        <f t="shared" ref="CD12:CD49" si="36">IF(CC12&gt;$BJ$6,1,0)</f>
        <v>0</v>
      </c>
      <c r="CE12" s="657"/>
      <c r="CF12" s="658">
        <f t="shared" ref="CF12:CF49" si="37">BH12*$BJ$6</f>
        <v>766041.29999999993</v>
      </c>
      <c r="CG12" s="654">
        <f t="shared" ref="CG12:CG49" si="38">IF(CB12&gt;CF12,CB12-CF12,0)</f>
        <v>0</v>
      </c>
      <c r="CH12" s="659">
        <f t="shared" ref="CH12:CH49" si="39">CB12-CG12</f>
        <v>554807.21070635587</v>
      </c>
      <c r="CI12" s="660">
        <f t="shared" ref="CI12:CI49" si="40">CH12/BT12</f>
        <v>0.21727570460222806</v>
      </c>
      <c r="CL12" s="661">
        <v>0</v>
      </c>
      <c r="CM12" s="662">
        <f>CH12+CL12</f>
        <v>554807.21070635587</v>
      </c>
      <c r="CN12" s="663">
        <f>CM12/BT12</f>
        <v>0.21727570460222806</v>
      </c>
    </row>
    <row r="13" spans="1:92">
      <c r="A13" s="664" t="s">
        <v>219</v>
      </c>
      <c r="B13" s="626" t="s">
        <v>27</v>
      </c>
      <c r="C13" s="27"/>
      <c r="D13" s="627">
        <v>361548</v>
      </c>
      <c r="E13" s="175">
        <v>42876</v>
      </c>
      <c r="F13" s="175">
        <v>7605</v>
      </c>
      <c r="G13" s="175">
        <v>91473</v>
      </c>
      <c r="H13" s="191">
        <f t="shared" si="0"/>
        <v>8.6115419460705133E-4</v>
      </c>
      <c r="I13" s="110">
        <f t="shared" si="1"/>
        <v>8.6115419460705144E-4</v>
      </c>
      <c r="J13" s="628"/>
      <c r="K13" s="629">
        <v>3.8435006435006436</v>
      </c>
      <c r="L13" s="630">
        <v>4.8354101054361225</v>
      </c>
      <c r="M13" s="630">
        <v>5.5493279229013446</v>
      </c>
      <c r="N13" s="630">
        <v>5.6378698224852073</v>
      </c>
      <c r="O13" s="631">
        <f t="shared" si="2"/>
        <v>0.96523278806967661</v>
      </c>
      <c r="P13" s="632">
        <f t="shared" si="3"/>
        <v>8.3121426421846117E-4</v>
      </c>
      <c r="Q13" s="113">
        <f t="shared" si="4"/>
        <v>8.0454825867830467E-4</v>
      </c>
      <c r="R13" s="633">
        <v>0.31931227680003421</v>
      </c>
      <c r="S13" s="630">
        <v>0.41985803797543603</v>
      </c>
      <c r="T13" s="630">
        <v>0.46390976646560589</v>
      </c>
      <c r="U13" s="630">
        <v>0.46872847725558364</v>
      </c>
      <c r="V13" s="631">
        <f t="shared" si="5"/>
        <v>0.97136734783700807</v>
      </c>
      <c r="W13" s="632">
        <f t="shared" si="6"/>
        <v>8.3649706609416623E-4</v>
      </c>
      <c r="X13" s="113">
        <f t="shared" si="7"/>
        <v>8.1071917251898358E-4</v>
      </c>
      <c r="Y13" s="633">
        <v>108.14491634491634</v>
      </c>
      <c r="Z13" s="630">
        <v>62.039983568396551</v>
      </c>
      <c r="AA13" s="630">
        <v>50.572406796855184</v>
      </c>
      <c r="AB13" s="630">
        <v>47.540828402366863</v>
      </c>
      <c r="AC13" s="631">
        <f t="shared" si="8"/>
        <v>0.73994552647823897</v>
      </c>
      <c r="AD13" s="632">
        <f t="shared" si="9"/>
        <v>1.163807555815228E-3</v>
      </c>
      <c r="AE13" s="113">
        <f t="shared" si="10"/>
        <v>1.165544380872921E-3</v>
      </c>
      <c r="AF13" s="633">
        <v>8.9845176742296253</v>
      </c>
      <c r="AG13" s="630">
        <v>5.3869237994459436</v>
      </c>
      <c r="AH13" s="630">
        <v>4.2277251863080787</v>
      </c>
      <c r="AI13" s="630">
        <v>3.9525105768915418</v>
      </c>
      <c r="AJ13" s="631">
        <f t="shared" si="11"/>
        <v>0.74012339547458483</v>
      </c>
      <c r="AK13" s="632">
        <f t="shared" si="12"/>
        <v>1.1635278655863306E-3</v>
      </c>
      <c r="AL13" s="113">
        <f t="shared" si="13"/>
        <v>1.1652757682657612E-3</v>
      </c>
      <c r="AM13" s="633">
        <v>28.137088132869007</v>
      </c>
      <c r="AN13" s="630">
        <v>12.830345765015716</v>
      </c>
      <c r="AO13" s="630">
        <v>9.1132489374343031</v>
      </c>
      <c r="AP13" s="630">
        <v>8.4324097397145259</v>
      </c>
      <c r="AQ13" s="634">
        <f t="shared" si="14"/>
        <v>0.7687399782462182</v>
      </c>
      <c r="AR13" s="632">
        <f t="shared" si="15"/>
        <v>1.1202151819548456E-3</v>
      </c>
      <c r="AS13" s="115">
        <f t="shared" si="16"/>
        <v>1.1270337601524509E-3</v>
      </c>
      <c r="AT13" s="628"/>
      <c r="AU13" s="635">
        <f t="shared" si="17"/>
        <v>1.6090965173566095E-4</v>
      </c>
      <c r="AV13" s="636">
        <f t="shared" si="18"/>
        <v>1.6214383450379672E-4</v>
      </c>
      <c r="AW13" s="636">
        <f t="shared" si="19"/>
        <v>2.3310887617458421E-4</v>
      </c>
      <c r="AX13" s="636">
        <f t="shared" si="20"/>
        <v>2.3305515365315226E-4</v>
      </c>
      <c r="AY13" s="637">
        <f t="shared" si="21"/>
        <v>2.254067520304902E-4</v>
      </c>
      <c r="AZ13" s="638">
        <f t="shared" ref="AZ13:AZ49" si="41">(SUM(AU13:AY13)-I13)/I13</f>
        <v>0.17821439464817576</v>
      </c>
      <c r="BA13" s="639">
        <f t="shared" si="22"/>
        <v>20388.036344002543</v>
      </c>
      <c r="BB13" s="640">
        <f t="shared" si="22"/>
        <v>20544.413309961245</v>
      </c>
      <c r="BC13" s="640">
        <f t="shared" si="22"/>
        <v>29536.029618437915</v>
      </c>
      <c r="BD13" s="640">
        <f t="shared" si="22"/>
        <v>29529.222713397528</v>
      </c>
      <c r="BE13" s="640">
        <f t="shared" si="22"/>
        <v>28560.132987738743</v>
      </c>
      <c r="BF13" s="641">
        <f t="shared" si="23"/>
        <v>128557.83497353797</v>
      </c>
      <c r="BH13" s="642">
        <v>361548</v>
      </c>
      <c r="BI13" s="643">
        <f t="shared" si="24"/>
        <v>0.35557611983343285</v>
      </c>
      <c r="BJ13" s="644">
        <f t="shared" si="25"/>
        <v>108464.4</v>
      </c>
      <c r="BK13" s="645">
        <f t="shared" si="26"/>
        <v>20093.43497353798</v>
      </c>
      <c r="BM13" s="646">
        <f t="shared" si="27"/>
        <v>0</v>
      </c>
      <c r="BN13" s="647">
        <f t="shared" si="28"/>
        <v>0</v>
      </c>
      <c r="BO13" s="648">
        <f t="shared" si="29"/>
        <v>0</v>
      </c>
      <c r="BP13" s="648">
        <f t="shared" ref="BP13:BP49" si="42">(BO13+BJ13)</f>
        <v>108464.4</v>
      </c>
      <c r="BQ13" s="649">
        <f t="shared" ref="BQ13:BQ48" si="43">BP13/BH13</f>
        <v>0.3</v>
      </c>
      <c r="BR13" s="142">
        <f t="shared" si="30"/>
        <v>0</v>
      </c>
      <c r="BS13" s="548"/>
      <c r="BT13" s="650">
        <f t="shared" si="31"/>
        <v>361548</v>
      </c>
      <c r="BU13" s="186">
        <f t="shared" ref="BU13:BU49" si="44">BP13/BT13</f>
        <v>0.3</v>
      </c>
      <c r="BV13" s="651">
        <f t="shared" si="32"/>
        <v>108464.4</v>
      </c>
      <c r="BW13" s="652">
        <f t="shared" si="33"/>
        <v>0</v>
      </c>
      <c r="BY13" s="646">
        <f t="shared" ref="BY13:BY49" si="45">IF(OR(BW13&gt;0,BU13&gt;=$BJ$6),0,BV13)</f>
        <v>0</v>
      </c>
      <c r="BZ13" s="653">
        <f t="shared" si="34"/>
        <v>0</v>
      </c>
      <c r="CA13" s="654">
        <f t="shared" si="35"/>
        <v>0</v>
      </c>
      <c r="CB13" s="655">
        <f t="shared" ref="CB13:CB49" si="46">(CA13+BV13)</f>
        <v>108464.4</v>
      </c>
      <c r="CC13" s="190">
        <f t="shared" ref="CC13:CC49" si="47">CB13/BT13</f>
        <v>0.3</v>
      </c>
      <c r="CD13" s="656">
        <f t="shared" si="36"/>
        <v>0</v>
      </c>
      <c r="CE13" s="657"/>
      <c r="CF13" s="658">
        <f t="shared" si="37"/>
        <v>108464.4</v>
      </c>
      <c r="CG13" s="654">
        <f t="shared" si="38"/>
        <v>0</v>
      </c>
      <c r="CH13" s="659">
        <f t="shared" si="39"/>
        <v>108464.4</v>
      </c>
      <c r="CI13" s="660">
        <f t="shared" si="40"/>
        <v>0.3</v>
      </c>
      <c r="CL13" s="661">
        <v>0</v>
      </c>
      <c r="CM13" s="662">
        <f t="shared" ref="CM13:CM49" si="48">CH13+CL13</f>
        <v>108464.4</v>
      </c>
      <c r="CN13" s="663">
        <f t="shared" ref="CN13:CN49" si="49">CM13/BT13</f>
        <v>0.3</v>
      </c>
    </row>
    <row r="14" spans="1:92">
      <c r="A14" s="664" t="s">
        <v>219</v>
      </c>
      <c r="B14" s="626" t="s">
        <v>35</v>
      </c>
      <c r="C14" s="27"/>
      <c r="D14" s="627">
        <v>2998198</v>
      </c>
      <c r="E14" s="175">
        <v>177659</v>
      </c>
      <c r="F14" s="175">
        <v>48302</v>
      </c>
      <c r="G14" s="175">
        <v>522054</v>
      </c>
      <c r="H14" s="176">
        <f t="shared" si="0"/>
        <v>5.4625085118843088E-3</v>
      </c>
      <c r="I14" s="110">
        <f t="shared" si="1"/>
        <v>5.4625085118843097E-3</v>
      </c>
      <c r="J14" s="628"/>
      <c r="K14" s="629">
        <v>3.0037184124655352</v>
      </c>
      <c r="L14" s="630">
        <v>3.0190503841343577</v>
      </c>
      <c r="M14" s="630">
        <v>3.4820277878872212</v>
      </c>
      <c r="N14" s="630">
        <v>3.6780878638565691</v>
      </c>
      <c r="O14" s="631">
        <f t="shared" si="2"/>
        <v>0.91361537754777933</v>
      </c>
      <c r="P14" s="632">
        <f t="shared" si="3"/>
        <v>4.9906317764431421E-3</v>
      </c>
      <c r="Q14" s="113">
        <f t="shared" si="4"/>
        <v>4.8305283947661674E-3</v>
      </c>
      <c r="R14" s="633">
        <v>0.30898734605406614</v>
      </c>
      <c r="S14" s="630">
        <v>0.30702858129224508</v>
      </c>
      <c r="T14" s="630">
        <v>0.33183650652455993</v>
      </c>
      <c r="U14" s="630">
        <v>0.34030770763177753</v>
      </c>
      <c r="V14" s="631">
        <f t="shared" si="5"/>
        <v>0.8841756096309652</v>
      </c>
      <c r="W14" s="632">
        <f t="shared" si="6"/>
        <v>4.8298167936096457E-3</v>
      </c>
      <c r="X14" s="113">
        <f t="shared" si="7"/>
        <v>4.6809788498322269E-3</v>
      </c>
      <c r="Y14" s="633">
        <v>61.145979308425872</v>
      </c>
      <c r="Z14" s="630">
        <v>58.62645167053779</v>
      </c>
      <c r="AA14" s="630">
        <v>57.842499625355913</v>
      </c>
      <c r="AB14" s="630">
        <v>62.071922487681668</v>
      </c>
      <c r="AC14" s="631">
        <f t="shared" si="8"/>
        <v>0.96211447539197736</v>
      </c>
      <c r="AD14" s="632">
        <f t="shared" si="9"/>
        <v>5.677607656468131E-3</v>
      </c>
      <c r="AE14" s="113">
        <f t="shared" si="10"/>
        <v>5.6860807164652331E-3</v>
      </c>
      <c r="AF14" s="633">
        <v>6.2899817073329398</v>
      </c>
      <c r="AG14" s="630">
        <v>5.9621384184897162</v>
      </c>
      <c r="AH14" s="630">
        <v>5.5123778940238459</v>
      </c>
      <c r="AI14" s="630">
        <v>5.7430802177552511</v>
      </c>
      <c r="AJ14" s="631">
        <f t="shared" si="11"/>
        <v>0.93411840641972699</v>
      </c>
      <c r="AK14" s="632">
        <f t="shared" si="12"/>
        <v>5.8477688420902852E-3</v>
      </c>
      <c r="AL14" s="113">
        <f t="shared" si="13"/>
        <v>5.8565536173673513E-3</v>
      </c>
      <c r="AM14" s="633">
        <v>20.356761490913378</v>
      </c>
      <c r="AN14" s="630">
        <v>19.418838446231348</v>
      </c>
      <c r="AO14" s="630">
        <v>16.611728322953109</v>
      </c>
      <c r="AP14" s="630">
        <v>16.876139120449849</v>
      </c>
      <c r="AQ14" s="634">
        <f t="shared" si="14"/>
        <v>1.0632527411646482</v>
      </c>
      <c r="AR14" s="632">
        <f t="shared" si="15"/>
        <v>5.1375447251618437E-3</v>
      </c>
      <c r="AS14" s="115">
        <f t="shared" si="16"/>
        <v>5.1688161728412792E-3</v>
      </c>
      <c r="AT14" s="628"/>
      <c r="AU14" s="635">
        <f t="shared" si="17"/>
        <v>9.6610567895323357E-4</v>
      </c>
      <c r="AV14" s="636">
        <f t="shared" si="18"/>
        <v>9.3619576996644544E-4</v>
      </c>
      <c r="AW14" s="636">
        <f t="shared" si="19"/>
        <v>1.1372161432930466E-3</v>
      </c>
      <c r="AX14" s="636">
        <f t="shared" si="20"/>
        <v>1.1713107234734704E-3</v>
      </c>
      <c r="AY14" s="637">
        <f t="shared" si="21"/>
        <v>1.0337632345682559E-3</v>
      </c>
      <c r="AZ14" s="638">
        <f t="shared" si="41"/>
        <v>-3.9893203123758124E-2</v>
      </c>
      <c r="BA14" s="639">
        <f t="shared" si="22"/>
        <v>122410.29349192552</v>
      </c>
      <c r="BB14" s="640">
        <f t="shared" si="22"/>
        <v>118620.5623919526</v>
      </c>
      <c r="BC14" s="640">
        <f t="shared" si="22"/>
        <v>144090.8224606307</v>
      </c>
      <c r="BD14" s="640">
        <f t="shared" si="22"/>
        <v>148410.77177600129</v>
      </c>
      <c r="BE14" s="640">
        <f t="shared" si="22"/>
        <v>130982.83521298713</v>
      </c>
      <c r="BF14" s="641">
        <f t="shared" si="23"/>
        <v>664515.28533349733</v>
      </c>
      <c r="BH14" s="642">
        <v>2998198</v>
      </c>
      <c r="BI14" s="643">
        <f t="shared" si="24"/>
        <v>0.22163822580546627</v>
      </c>
      <c r="BJ14" s="644">
        <f t="shared" si="25"/>
        <v>664515.28533349733</v>
      </c>
      <c r="BK14" s="645">
        <f t="shared" si="26"/>
        <v>0</v>
      </c>
      <c r="BM14" s="646">
        <f t="shared" si="27"/>
        <v>664515.28533349733</v>
      </c>
      <c r="BN14" s="647">
        <f t="shared" si="28"/>
        <v>5.7380268809238584E-3</v>
      </c>
      <c r="BO14" s="648">
        <f t="shared" si="29"/>
        <v>16497.29433066829</v>
      </c>
      <c r="BP14" s="648">
        <f t="shared" si="42"/>
        <v>681012.57966416562</v>
      </c>
      <c r="BQ14" s="649">
        <f t="shared" si="43"/>
        <v>0.22714062902589008</v>
      </c>
      <c r="BR14" s="142">
        <f t="shared" si="30"/>
        <v>0</v>
      </c>
      <c r="BS14" s="548"/>
      <c r="BT14" s="650">
        <f t="shared" si="31"/>
        <v>2998198</v>
      </c>
      <c r="BU14" s="186">
        <f t="shared" si="44"/>
        <v>0.22714062902589008</v>
      </c>
      <c r="BV14" s="651">
        <f t="shared" si="32"/>
        <v>681012.57966416562</v>
      </c>
      <c r="BW14" s="652">
        <f t="shared" si="33"/>
        <v>0</v>
      </c>
      <c r="BY14" s="646">
        <f t="shared" si="45"/>
        <v>681012.57966416562</v>
      </c>
      <c r="BZ14" s="653">
        <f t="shared" si="34"/>
        <v>5.7380268809238584E-3</v>
      </c>
      <c r="CA14" s="654">
        <f t="shared" si="35"/>
        <v>0</v>
      </c>
      <c r="CB14" s="655">
        <f t="shared" si="46"/>
        <v>681012.57966416562</v>
      </c>
      <c r="CC14" s="190">
        <f t="shared" si="47"/>
        <v>0.22714062902589008</v>
      </c>
      <c r="CD14" s="656">
        <f t="shared" si="36"/>
        <v>0</v>
      </c>
      <c r="CE14" s="657"/>
      <c r="CF14" s="658">
        <f t="shared" si="37"/>
        <v>899459.4</v>
      </c>
      <c r="CG14" s="654">
        <f t="shared" si="38"/>
        <v>0</v>
      </c>
      <c r="CH14" s="659">
        <f t="shared" si="39"/>
        <v>681012.57966416562</v>
      </c>
      <c r="CI14" s="660">
        <f t="shared" si="40"/>
        <v>0.22714062902589008</v>
      </c>
      <c r="CL14" s="661">
        <v>0</v>
      </c>
      <c r="CM14" s="662">
        <f t="shared" si="48"/>
        <v>681012.57966416562</v>
      </c>
      <c r="CN14" s="663">
        <f t="shared" si="49"/>
        <v>0.22714062902589008</v>
      </c>
    </row>
    <row r="15" spans="1:92">
      <c r="A15" s="664" t="s">
        <v>219</v>
      </c>
      <c r="B15" s="626" t="s">
        <v>45</v>
      </c>
      <c r="C15" s="27"/>
      <c r="D15" s="627">
        <v>2083701</v>
      </c>
      <c r="E15" s="175">
        <v>130896</v>
      </c>
      <c r="F15" s="175">
        <v>44163</v>
      </c>
      <c r="G15" s="175">
        <v>745438</v>
      </c>
      <c r="H15" s="176">
        <f t="shared" si="0"/>
        <v>4.6441911015440108E-3</v>
      </c>
      <c r="I15" s="110">
        <f t="shared" si="1"/>
        <v>4.6441911015440117E-3</v>
      </c>
      <c r="J15" s="628"/>
      <c r="K15" s="629">
        <v>1.3455313359222201</v>
      </c>
      <c r="L15" s="630">
        <v>2.5156324194636741</v>
      </c>
      <c r="M15" s="630">
        <v>2.7827345119658662</v>
      </c>
      <c r="N15" s="630">
        <v>2.9639290809048298</v>
      </c>
      <c r="O15" s="631">
        <f t="shared" si="2"/>
        <v>1.1279060361303517</v>
      </c>
      <c r="P15" s="632">
        <f t="shared" si="3"/>
        <v>5.2382111763743574E-3</v>
      </c>
      <c r="Q15" s="113">
        <f t="shared" si="4"/>
        <v>5.0701652533643102E-3</v>
      </c>
      <c r="R15" s="633">
        <v>8.6154544217069737E-2</v>
      </c>
      <c r="S15" s="630">
        <v>0.15736959607772016</v>
      </c>
      <c r="T15" s="630">
        <v>0.16460220997236286</v>
      </c>
      <c r="U15" s="630">
        <v>0.17559609249863839</v>
      </c>
      <c r="V15" s="631">
        <f t="shared" si="5"/>
        <v>1.108030754011484</v>
      </c>
      <c r="W15" s="632">
        <f t="shared" si="6"/>
        <v>5.1459065680172352E-3</v>
      </c>
      <c r="X15" s="113">
        <f t="shared" si="7"/>
        <v>4.9873278506075451E-3</v>
      </c>
      <c r="Y15" s="633">
        <v>42.25856741971144</v>
      </c>
      <c r="Z15" s="630">
        <v>54.154224876915002</v>
      </c>
      <c r="AA15" s="630">
        <v>45.459899034704179</v>
      </c>
      <c r="AB15" s="630">
        <v>48.817313135430112</v>
      </c>
      <c r="AC15" s="631">
        <f t="shared" si="8"/>
        <v>1.024095279002766</v>
      </c>
      <c r="AD15" s="632">
        <f t="shared" si="9"/>
        <v>4.5349209167982775E-3</v>
      </c>
      <c r="AE15" s="113">
        <f t="shared" si="10"/>
        <v>4.5416886716934876E-3</v>
      </c>
      <c r="AF15" s="633">
        <v>2.7058214982530968</v>
      </c>
      <c r="AG15" s="630">
        <v>3.3877081678725758</v>
      </c>
      <c r="AH15" s="630">
        <v>2.689009610531103</v>
      </c>
      <c r="AI15" s="630">
        <v>2.8921506550511245</v>
      </c>
      <c r="AJ15" s="631">
        <f t="shared" si="11"/>
        <v>1.0075978281171294</v>
      </c>
      <c r="AK15" s="632">
        <f t="shared" si="12"/>
        <v>4.6091714094129051E-3</v>
      </c>
      <c r="AL15" s="113">
        <f t="shared" si="13"/>
        <v>4.6160955092086654E-3</v>
      </c>
      <c r="AM15" s="633">
        <v>31.406602203543365</v>
      </c>
      <c r="AN15" s="630">
        <v>21.527081801744522</v>
      </c>
      <c r="AO15" s="630">
        <v>16.33641256081917</v>
      </c>
      <c r="AP15" s="630">
        <v>16.470472741718616</v>
      </c>
      <c r="AQ15" s="634">
        <f t="shared" si="14"/>
        <v>0.91200498953668374</v>
      </c>
      <c r="AR15" s="632">
        <f t="shared" si="15"/>
        <v>5.0922869445082213E-3</v>
      </c>
      <c r="AS15" s="115">
        <f t="shared" si="16"/>
        <v>5.1232829150102289E-3</v>
      </c>
      <c r="AT15" s="628"/>
      <c r="AU15" s="635">
        <f t="shared" si="17"/>
        <v>1.0140330506728621E-3</v>
      </c>
      <c r="AV15" s="636">
        <f t="shared" si="18"/>
        <v>9.9746557012150914E-4</v>
      </c>
      <c r="AW15" s="636">
        <f t="shared" si="19"/>
        <v>9.0833773433869754E-4</v>
      </c>
      <c r="AX15" s="636">
        <f t="shared" si="20"/>
        <v>9.2321910184173315E-4</v>
      </c>
      <c r="AY15" s="637">
        <f t="shared" si="21"/>
        <v>1.0246565830020458E-3</v>
      </c>
      <c r="AZ15" s="638">
        <f t="shared" si="41"/>
        <v>4.8129143169522957E-2</v>
      </c>
      <c r="BA15" s="639">
        <f t="shared" si="22"/>
        <v>128482.92484717535</v>
      </c>
      <c r="BB15" s="640">
        <f t="shared" si="22"/>
        <v>126383.74439425614</v>
      </c>
      <c r="BC15" s="640">
        <f t="shared" si="22"/>
        <v>115090.81363714147</v>
      </c>
      <c r="BD15" s="640">
        <f t="shared" si="22"/>
        <v>116976.35535715446</v>
      </c>
      <c r="BE15" s="640">
        <f t="shared" si="22"/>
        <v>129828.97811926184</v>
      </c>
      <c r="BF15" s="641">
        <f t="shared" si="23"/>
        <v>616762.81635498919</v>
      </c>
      <c r="BH15" s="642">
        <v>2155919</v>
      </c>
      <c r="BI15" s="643">
        <f t="shared" si="24"/>
        <v>0.28607884449971877</v>
      </c>
      <c r="BJ15" s="644">
        <f t="shared" si="25"/>
        <v>616762.81635498919</v>
      </c>
      <c r="BK15" s="645">
        <f t="shared" si="26"/>
        <v>0</v>
      </c>
      <c r="BM15" s="646">
        <f t="shared" si="27"/>
        <v>616762.81635498919</v>
      </c>
      <c r="BN15" s="647">
        <f t="shared" si="28"/>
        <v>5.3256888103380947E-3</v>
      </c>
      <c r="BO15" s="648">
        <f t="shared" si="29"/>
        <v>15311.788815382524</v>
      </c>
      <c r="BP15" s="648">
        <f t="shared" si="42"/>
        <v>632074.60517037171</v>
      </c>
      <c r="BQ15" s="649">
        <f t="shared" si="43"/>
        <v>0.29318105419098384</v>
      </c>
      <c r="BR15" s="142">
        <f t="shared" si="30"/>
        <v>0</v>
      </c>
      <c r="BS15" s="548"/>
      <c r="BT15" s="650">
        <f t="shared" si="31"/>
        <v>2155919</v>
      </c>
      <c r="BU15" s="186">
        <f t="shared" si="44"/>
        <v>0.29318105419098384</v>
      </c>
      <c r="BV15" s="651">
        <f t="shared" si="32"/>
        <v>632074.60517037171</v>
      </c>
      <c r="BW15" s="652">
        <f t="shared" si="33"/>
        <v>0</v>
      </c>
      <c r="BY15" s="646">
        <f t="shared" si="45"/>
        <v>632074.60517037171</v>
      </c>
      <c r="BZ15" s="653">
        <f t="shared" si="34"/>
        <v>5.3256888103380947E-3</v>
      </c>
      <c r="CA15" s="654">
        <f t="shared" si="35"/>
        <v>0</v>
      </c>
      <c r="CB15" s="655">
        <f t="shared" si="46"/>
        <v>632074.60517037171</v>
      </c>
      <c r="CC15" s="190">
        <f t="shared" si="47"/>
        <v>0.29318105419098384</v>
      </c>
      <c r="CD15" s="656">
        <f t="shared" si="36"/>
        <v>0</v>
      </c>
      <c r="CE15" s="657"/>
      <c r="CF15" s="658">
        <f t="shared" si="37"/>
        <v>646775.69999999995</v>
      </c>
      <c r="CG15" s="654">
        <f t="shared" si="38"/>
        <v>0</v>
      </c>
      <c r="CH15" s="659">
        <f t="shared" si="39"/>
        <v>632074.60517037171</v>
      </c>
      <c r="CI15" s="660">
        <f t="shared" si="40"/>
        <v>0.29318105419098384</v>
      </c>
      <c r="CL15" s="661">
        <v>0</v>
      </c>
      <c r="CM15" s="662">
        <f t="shared" si="48"/>
        <v>632074.60517037171</v>
      </c>
      <c r="CN15" s="663">
        <f t="shared" si="49"/>
        <v>0.29318105419098384</v>
      </c>
    </row>
    <row r="16" spans="1:92">
      <c r="A16" s="664" t="s">
        <v>219</v>
      </c>
      <c r="B16" s="626" t="s">
        <v>58</v>
      </c>
      <c r="C16" s="27"/>
      <c r="D16" s="627">
        <v>447645</v>
      </c>
      <c r="E16" s="175">
        <v>33235</v>
      </c>
      <c r="F16" s="175">
        <v>8168</v>
      </c>
      <c r="G16" s="175">
        <v>126970</v>
      </c>
      <c r="H16" s="176">
        <f t="shared" si="0"/>
        <v>9.481790956704355E-4</v>
      </c>
      <c r="I16" s="110">
        <f t="shared" si="1"/>
        <v>9.4817909567043561E-4</v>
      </c>
      <c r="J16" s="628"/>
      <c r="K16" s="629">
        <v>3.8071505958829901</v>
      </c>
      <c r="L16" s="630">
        <v>3.650582779796967</v>
      </c>
      <c r="M16" s="630">
        <v>3.815299877600979</v>
      </c>
      <c r="N16" s="630">
        <v>4.0689275220372183</v>
      </c>
      <c r="O16" s="631">
        <f t="shared" si="2"/>
        <v>0.87439593763301104</v>
      </c>
      <c r="P16" s="632">
        <f t="shared" si="3"/>
        <v>8.2908394940277102E-4</v>
      </c>
      <c r="Q16" s="113">
        <f t="shared" si="4"/>
        <v>8.0248628603276587E-4</v>
      </c>
      <c r="R16" s="633">
        <v>0.2437813629741542</v>
      </c>
      <c r="S16" s="630">
        <v>0.22496138399752857</v>
      </c>
      <c r="T16" s="630">
        <v>0.23446890772737189</v>
      </c>
      <c r="U16" s="630">
        <v>0.2617547452154052</v>
      </c>
      <c r="V16" s="631">
        <f t="shared" si="5"/>
        <v>0.88282330624614769</v>
      </c>
      <c r="W16" s="632">
        <f t="shared" si="6"/>
        <v>8.3707460415325633E-4</v>
      </c>
      <c r="X16" s="113">
        <f t="shared" si="7"/>
        <v>8.1127891288908433E-4</v>
      </c>
      <c r="Y16" s="633">
        <v>43.683519922956542</v>
      </c>
      <c r="Z16" s="630">
        <v>59.664118310565236</v>
      </c>
      <c r="AA16" s="630">
        <v>55.822399020807836</v>
      </c>
      <c r="AB16" s="630">
        <v>54.804725759059743</v>
      </c>
      <c r="AC16" s="631">
        <f t="shared" si="8"/>
        <v>1.0516045914118244</v>
      </c>
      <c r="AD16" s="632">
        <f t="shared" si="9"/>
        <v>9.0164982486189453E-4</v>
      </c>
      <c r="AE16" s="113">
        <f t="shared" si="10"/>
        <v>9.029954150337917E-4</v>
      </c>
      <c r="AF16" s="633">
        <v>2.7971649027603269</v>
      </c>
      <c r="AG16" s="630">
        <v>3.6767068273092369</v>
      </c>
      <c r="AH16" s="630">
        <v>3.4305604657635227</v>
      </c>
      <c r="AI16" s="630">
        <v>3.5255965976214854</v>
      </c>
      <c r="AJ16" s="631">
        <f t="shared" si="11"/>
        <v>1.0555482262779829</v>
      </c>
      <c r="AK16" s="632">
        <f t="shared" si="12"/>
        <v>8.9828116997918081E-4</v>
      </c>
      <c r="AL16" s="113">
        <f t="shared" si="13"/>
        <v>8.996306074188226E-4</v>
      </c>
      <c r="AM16" s="633">
        <v>11.474071966103839</v>
      </c>
      <c r="AN16" s="630">
        <v>16.343724251579236</v>
      </c>
      <c r="AO16" s="630">
        <v>14.631195662635141</v>
      </c>
      <c r="AP16" s="630">
        <v>13.469083797201746</v>
      </c>
      <c r="AQ16" s="634">
        <f t="shared" si="14"/>
        <v>1.2439563207545858</v>
      </c>
      <c r="AR16" s="632">
        <f t="shared" si="15"/>
        <v>7.6222860871454773E-4</v>
      </c>
      <c r="AS16" s="115">
        <f t="shared" si="16"/>
        <v>7.6686817748373927E-4</v>
      </c>
      <c r="AT16" s="628"/>
      <c r="AU16" s="635">
        <f t="shared" si="17"/>
        <v>1.6049725720655318E-4</v>
      </c>
      <c r="AV16" s="636">
        <f t="shared" si="18"/>
        <v>1.6225578257781688E-4</v>
      </c>
      <c r="AW16" s="636">
        <f t="shared" si="19"/>
        <v>1.8059908300675835E-4</v>
      </c>
      <c r="AX16" s="636">
        <f t="shared" si="20"/>
        <v>1.7992612148376452E-4</v>
      </c>
      <c r="AY16" s="637">
        <f t="shared" si="21"/>
        <v>1.5337363549674786E-4</v>
      </c>
      <c r="AZ16" s="638">
        <f t="shared" si="41"/>
        <v>-0.11762252132329118</v>
      </c>
      <c r="BA16" s="639">
        <f t="shared" si="22"/>
        <v>20335.783949215627</v>
      </c>
      <c r="BB16" s="640">
        <f t="shared" si="22"/>
        <v>20558.597676014771</v>
      </c>
      <c r="BC16" s="640">
        <f t="shared" si="22"/>
        <v>22882.783153891443</v>
      </c>
      <c r="BD16" s="640">
        <f t="shared" si="22"/>
        <v>22797.515652278471</v>
      </c>
      <c r="BE16" s="640">
        <f t="shared" si="22"/>
        <v>19433.186393669188</v>
      </c>
      <c r="BF16" s="641">
        <f t="shared" si="23"/>
        <v>106007.8668250695</v>
      </c>
      <c r="BH16" s="642">
        <v>447645</v>
      </c>
      <c r="BI16" s="643">
        <f t="shared" si="24"/>
        <v>0.23681235538221024</v>
      </c>
      <c r="BJ16" s="644">
        <f t="shared" si="25"/>
        <v>106007.8668250695</v>
      </c>
      <c r="BK16" s="645">
        <f t="shared" si="26"/>
        <v>0</v>
      </c>
      <c r="BM16" s="646">
        <f t="shared" si="27"/>
        <v>106007.8668250695</v>
      </c>
      <c r="BN16" s="647">
        <f t="shared" si="28"/>
        <v>9.15367942403872E-4</v>
      </c>
      <c r="BO16" s="648">
        <f t="shared" si="29"/>
        <v>2631.757340994458</v>
      </c>
      <c r="BP16" s="648">
        <f t="shared" si="42"/>
        <v>108639.62416606396</v>
      </c>
      <c r="BQ16" s="649">
        <f t="shared" si="43"/>
        <v>0.24269147240796604</v>
      </c>
      <c r="BR16" s="142">
        <f t="shared" si="30"/>
        <v>0</v>
      </c>
      <c r="BS16" s="548"/>
      <c r="BT16" s="650">
        <f t="shared" si="31"/>
        <v>447645</v>
      </c>
      <c r="BU16" s="186">
        <f t="shared" si="44"/>
        <v>0.24269147240796604</v>
      </c>
      <c r="BV16" s="651">
        <f t="shared" si="32"/>
        <v>108639.62416606396</v>
      </c>
      <c r="BW16" s="652">
        <f t="shared" si="33"/>
        <v>0</v>
      </c>
      <c r="BY16" s="646">
        <f t="shared" si="45"/>
        <v>108639.62416606396</v>
      </c>
      <c r="BZ16" s="653">
        <f t="shared" si="34"/>
        <v>9.15367942403872E-4</v>
      </c>
      <c r="CA16" s="654">
        <f t="shared" si="35"/>
        <v>0</v>
      </c>
      <c r="CB16" s="655">
        <f t="shared" si="46"/>
        <v>108639.62416606396</v>
      </c>
      <c r="CC16" s="190">
        <f t="shared" si="47"/>
        <v>0.24269147240796604</v>
      </c>
      <c r="CD16" s="656">
        <f t="shared" si="36"/>
        <v>0</v>
      </c>
      <c r="CE16" s="657"/>
      <c r="CF16" s="658">
        <f t="shared" si="37"/>
        <v>134293.5</v>
      </c>
      <c r="CG16" s="654">
        <f t="shared" si="38"/>
        <v>0</v>
      </c>
      <c r="CH16" s="659">
        <f t="shared" si="39"/>
        <v>108639.62416606396</v>
      </c>
      <c r="CI16" s="660">
        <f t="shared" si="40"/>
        <v>0.24269147240796604</v>
      </c>
      <c r="CL16" s="661">
        <v>566</v>
      </c>
      <c r="CM16" s="662">
        <f t="shared" si="48"/>
        <v>109205.62416606396</v>
      </c>
      <c r="CN16" s="663">
        <f t="shared" si="49"/>
        <v>0.24395586718507739</v>
      </c>
    </row>
    <row r="17" spans="1:92">
      <c r="A17" s="664" t="s">
        <v>220</v>
      </c>
      <c r="B17" s="626" t="s">
        <v>26</v>
      </c>
      <c r="C17" s="27"/>
      <c r="D17" s="627">
        <v>14466572</v>
      </c>
      <c r="E17" s="175">
        <v>1476869</v>
      </c>
      <c r="F17" s="175">
        <v>128069</v>
      </c>
      <c r="G17" s="175">
        <v>1380275</v>
      </c>
      <c r="H17" s="176">
        <f t="shared" si="0"/>
        <v>2.5890841043377157E-2</v>
      </c>
      <c r="I17" s="110">
        <f t="shared" si="1"/>
        <v>2.5890841043377161E-2</v>
      </c>
      <c r="J17" s="628"/>
      <c r="K17" s="629">
        <v>6.5903135821469796</v>
      </c>
      <c r="L17" s="630">
        <v>13.15305492915798</v>
      </c>
      <c r="M17" s="630">
        <v>10.956321576014718</v>
      </c>
      <c r="N17" s="630">
        <v>11.531822689331532</v>
      </c>
      <c r="O17" s="631">
        <f t="shared" si="2"/>
        <v>1.0801586609984979</v>
      </c>
      <c r="P17" s="632">
        <f t="shared" si="3"/>
        <v>2.7966216193539225E-2</v>
      </c>
      <c r="Q17" s="113">
        <f t="shared" si="4"/>
        <v>2.7069038043384029E-2</v>
      </c>
      <c r="R17" s="633">
        <v>0.65665071513529727</v>
      </c>
      <c r="S17" s="630">
        <v>1.0437083935072138</v>
      </c>
      <c r="T17" s="630">
        <v>1.0015167534877283</v>
      </c>
      <c r="U17" s="630">
        <v>1.0699817065439858</v>
      </c>
      <c r="V17" s="631">
        <f t="shared" si="5"/>
        <v>1.0214923032337606</v>
      </c>
      <c r="W17" s="632">
        <f t="shared" si="6"/>
        <v>2.6447294850058516E-2</v>
      </c>
      <c r="X17" s="113">
        <f t="shared" si="7"/>
        <v>2.5632282365699682E-2</v>
      </c>
      <c r="Y17" s="633">
        <v>123.85324163139668</v>
      </c>
      <c r="Z17" s="630">
        <v>137.78897374803216</v>
      </c>
      <c r="AA17" s="630">
        <v>129.86446660739594</v>
      </c>
      <c r="AB17" s="630">
        <v>113.07535781492788</v>
      </c>
      <c r="AC17" s="631">
        <f t="shared" si="8"/>
        <v>0.93434210903999049</v>
      </c>
      <c r="AD17" s="632">
        <f t="shared" si="9"/>
        <v>2.7710236746130656E-2</v>
      </c>
      <c r="AE17" s="113">
        <f t="shared" si="10"/>
        <v>2.7751590519179133E-2</v>
      </c>
      <c r="AF17" s="633">
        <v>12.340584203670993</v>
      </c>
      <c r="AG17" s="630">
        <v>10.933696332002826</v>
      </c>
      <c r="AH17" s="630">
        <v>11.870903759778434</v>
      </c>
      <c r="AI17" s="630">
        <v>10.491712158808934</v>
      </c>
      <c r="AJ17" s="631">
        <f t="shared" si="11"/>
        <v>0.91149178626529148</v>
      </c>
      <c r="AK17" s="632">
        <f t="shared" si="12"/>
        <v>2.8404908780869233E-2</v>
      </c>
      <c r="AL17" s="113">
        <f t="shared" si="13"/>
        <v>2.8447579882813188E-2</v>
      </c>
      <c r="AM17" s="633">
        <v>18.793224341693318</v>
      </c>
      <c r="AN17" s="630">
        <v>10.475815275626847</v>
      </c>
      <c r="AO17" s="630">
        <v>11.852925793241749</v>
      </c>
      <c r="AP17" s="630">
        <v>9.8055061078538444</v>
      </c>
      <c r="AQ17" s="631">
        <f t="shared" si="14"/>
        <v>0.93027130136651037</v>
      </c>
      <c r="AR17" s="632">
        <f t="shared" si="15"/>
        <v>2.7831494968559314E-2</v>
      </c>
      <c r="AS17" s="115">
        <f t="shared" si="16"/>
        <v>2.800090101469789E-2</v>
      </c>
      <c r="AT17" s="628"/>
      <c r="AU17" s="635">
        <f t="shared" si="17"/>
        <v>5.4138076086768065E-3</v>
      </c>
      <c r="AV17" s="636">
        <f t="shared" si="18"/>
        <v>5.1264564731399367E-3</v>
      </c>
      <c r="AW17" s="636">
        <f t="shared" si="19"/>
        <v>5.5503181038358274E-3</v>
      </c>
      <c r="AX17" s="636">
        <f t="shared" si="20"/>
        <v>5.6895159765626381E-3</v>
      </c>
      <c r="AY17" s="637">
        <f t="shared" si="21"/>
        <v>5.6001802029395781E-3</v>
      </c>
      <c r="AZ17" s="638">
        <f t="shared" si="41"/>
        <v>5.752757584360594E-2</v>
      </c>
      <c r="BA17" s="639">
        <f t="shared" si="22"/>
        <v>685955.78384859802</v>
      </c>
      <c r="BB17" s="640">
        <f t="shared" si="22"/>
        <v>649546.99586339772</v>
      </c>
      <c r="BC17" s="640">
        <f t="shared" si="22"/>
        <v>703252.32825484686</v>
      </c>
      <c r="BD17" s="640">
        <f t="shared" si="22"/>
        <v>720889.37648377614</v>
      </c>
      <c r="BE17" s="640">
        <f t="shared" si="22"/>
        <v>709570.0989898527</v>
      </c>
      <c r="BF17" s="641">
        <f t="shared" si="23"/>
        <v>3469214.5834404714</v>
      </c>
      <c r="BH17" s="642">
        <v>14481448</v>
      </c>
      <c r="BI17" s="643">
        <f t="shared" si="24"/>
        <v>0.23956268623417157</v>
      </c>
      <c r="BJ17" s="644">
        <f t="shared" si="25"/>
        <v>3469214.5834404714</v>
      </c>
      <c r="BK17" s="645">
        <f t="shared" si="26"/>
        <v>0</v>
      </c>
      <c r="BM17" s="646">
        <f t="shared" si="27"/>
        <v>3469214.5834404714</v>
      </c>
      <c r="BN17" s="647">
        <f t="shared" si="28"/>
        <v>2.9956341072702536E-2</v>
      </c>
      <c r="BO17" s="648">
        <f t="shared" si="29"/>
        <v>86126.918887262538</v>
      </c>
      <c r="BP17" s="648">
        <f t="shared" si="42"/>
        <v>3555341.5023277341</v>
      </c>
      <c r="BQ17" s="649">
        <f t="shared" si="43"/>
        <v>0.24551008313034264</v>
      </c>
      <c r="BR17" s="142">
        <f t="shared" si="30"/>
        <v>0</v>
      </c>
      <c r="BS17" s="548"/>
      <c r="BT17" s="650">
        <f t="shared" si="31"/>
        <v>14481448</v>
      </c>
      <c r="BU17" s="186">
        <f t="shared" si="44"/>
        <v>0.24551008313034264</v>
      </c>
      <c r="BV17" s="651">
        <f t="shared" si="32"/>
        <v>3555341.5023277341</v>
      </c>
      <c r="BW17" s="652">
        <f t="shared" si="33"/>
        <v>0</v>
      </c>
      <c r="BY17" s="646">
        <f t="shared" si="45"/>
        <v>3555341.5023277341</v>
      </c>
      <c r="BZ17" s="653">
        <f t="shared" si="34"/>
        <v>2.9956341072702536E-2</v>
      </c>
      <c r="CA17" s="654">
        <f t="shared" si="35"/>
        <v>0</v>
      </c>
      <c r="CB17" s="655">
        <f t="shared" si="46"/>
        <v>3555341.5023277341</v>
      </c>
      <c r="CC17" s="190">
        <f t="shared" si="47"/>
        <v>0.24551008313034264</v>
      </c>
      <c r="CD17" s="656">
        <f t="shared" si="36"/>
        <v>0</v>
      </c>
      <c r="CE17" s="657"/>
      <c r="CF17" s="658">
        <f t="shared" si="37"/>
        <v>4344434.3999999994</v>
      </c>
      <c r="CG17" s="654">
        <f t="shared" si="38"/>
        <v>0</v>
      </c>
      <c r="CH17" s="659">
        <f t="shared" si="39"/>
        <v>3555341.5023277341</v>
      </c>
      <c r="CI17" s="660">
        <f t="shared" si="40"/>
        <v>0.24551008313034264</v>
      </c>
      <c r="CL17" s="661">
        <v>0</v>
      </c>
      <c r="CM17" s="662">
        <f t="shared" si="48"/>
        <v>3555341.5023277341</v>
      </c>
      <c r="CN17" s="663">
        <f t="shared" si="49"/>
        <v>0.24551008313034264</v>
      </c>
    </row>
    <row r="18" spans="1:92">
      <c r="A18" s="664" t="s">
        <v>221</v>
      </c>
      <c r="B18" s="626" t="s">
        <v>342</v>
      </c>
      <c r="C18" s="27"/>
      <c r="D18" s="627">
        <v>5072179</v>
      </c>
      <c r="E18" s="175">
        <v>332441</v>
      </c>
      <c r="F18" s="175">
        <v>38032</v>
      </c>
      <c r="G18" s="175">
        <v>554895</v>
      </c>
      <c r="H18" s="191">
        <f t="shared" si="0"/>
        <v>7.99103208411177E-3</v>
      </c>
      <c r="I18" s="110">
        <f t="shared" si="1"/>
        <v>7.9910320841117717E-3</v>
      </c>
      <c r="J18" s="628"/>
      <c r="K18" s="629">
        <v>3.4815432129025932</v>
      </c>
      <c r="L18" s="630">
        <v>4.4669216251117509</v>
      </c>
      <c r="M18" s="630">
        <v>7.7552782335063606</v>
      </c>
      <c r="N18" s="630">
        <v>8.7410864535128319</v>
      </c>
      <c r="O18" s="631">
        <f t="shared" si="2"/>
        <v>1.1714187434979995</v>
      </c>
      <c r="P18" s="632">
        <f t="shared" si="3"/>
        <v>9.3608447632224107E-3</v>
      </c>
      <c r="Q18" s="113">
        <f t="shared" si="4"/>
        <v>9.0605415212522637E-3</v>
      </c>
      <c r="R18" s="633">
        <v>0.23255357049300571</v>
      </c>
      <c r="S18" s="630">
        <v>0.30066694525699961</v>
      </c>
      <c r="T18" s="630">
        <v>0.52558774529639718</v>
      </c>
      <c r="U18" s="630">
        <v>0.59910613719712735</v>
      </c>
      <c r="V18" s="631">
        <f t="shared" si="5"/>
        <v>1.1856531510578938</v>
      </c>
      <c r="W18" s="632">
        <f t="shared" si="6"/>
        <v>9.4745923707318502E-3</v>
      </c>
      <c r="X18" s="113">
        <f t="shared" si="7"/>
        <v>9.1826188017851435E-3</v>
      </c>
      <c r="Y18" s="633">
        <v>97.854576204715912</v>
      </c>
      <c r="Z18" s="630">
        <v>112.67122777391477</v>
      </c>
      <c r="AA18" s="630">
        <v>122.86288695839272</v>
      </c>
      <c r="AB18" s="630">
        <v>138.48985065208245</v>
      </c>
      <c r="AC18" s="631">
        <f t="shared" si="8"/>
        <v>1.0747196303588169</v>
      </c>
      <c r="AD18" s="632">
        <f t="shared" si="9"/>
        <v>7.4354574517670287E-3</v>
      </c>
      <c r="AE18" s="113">
        <f t="shared" si="10"/>
        <v>7.4465538643595664E-3</v>
      </c>
      <c r="AF18" s="633">
        <v>6.5363057971394145</v>
      </c>
      <c r="AG18" s="630">
        <v>7.5838612620142083</v>
      </c>
      <c r="AH18" s="630">
        <v>8.3266165046243135</v>
      </c>
      <c r="AI18" s="630">
        <v>9.4919687508447552</v>
      </c>
      <c r="AJ18" s="631">
        <f t="shared" si="11"/>
        <v>1.0897309117503498</v>
      </c>
      <c r="AK18" s="632">
        <f t="shared" si="12"/>
        <v>7.3330324008854626E-3</v>
      </c>
      <c r="AL18" s="113">
        <f t="shared" si="13"/>
        <v>7.3440484043357972E-3</v>
      </c>
      <c r="AM18" s="633">
        <v>28.106667136018022</v>
      </c>
      <c r="AN18" s="630">
        <v>25.223461978940815</v>
      </c>
      <c r="AO18" s="630">
        <v>15.842486015210735</v>
      </c>
      <c r="AP18" s="630">
        <v>15.843551186526332</v>
      </c>
      <c r="AQ18" s="634">
        <f t="shared" si="14"/>
        <v>0.95162230758164368</v>
      </c>
      <c r="AR18" s="632">
        <f t="shared" si="15"/>
        <v>8.3972727629928832E-3</v>
      </c>
      <c r="AS18" s="115">
        <f t="shared" si="16"/>
        <v>8.448385675854115E-3</v>
      </c>
      <c r="AT18" s="628"/>
      <c r="AU18" s="635">
        <f t="shared" si="17"/>
        <v>1.8121083042504527E-3</v>
      </c>
      <c r="AV18" s="636">
        <f t="shared" si="18"/>
        <v>1.8365237603570287E-3</v>
      </c>
      <c r="AW18" s="636">
        <f t="shared" si="19"/>
        <v>1.4893107728719134E-3</v>
      </c>
      <c r="AX18" s="636">
        <f t="shared" si="20"/>
        <v>1.4688096808671595E-3</v>
      </c>
      <c r="AY18" s="637">
        <f t="shared" si="21"/>
        <v>1.689677135170823E-3</v>
      </c>
      <c r="AZ18" s="638">
        <f t="shared" si="41"/>
        <v>3.8217537633569748E-2</v>
      </c>
      <c r="BA18" s="639">
        <f t="shared" si="22"/>
        <v>229602.94530386577</v>
      </c>
      <c r="BB18" s="640">
        <f t="shared" si="22"/>
        <v>232696.50247142473</v>
      </c>
      <c r="BC18" s="640">
        <f t="shared" si="22"/>
        <v>188702.92637702453</v>
      </c>
      <c r="BD18" s="640">
        <f t="shared" si="22"/>
        <v>186105.33820020524</v>
      </c>
      <c r="BE18" s="640">
        <f t="shared" si="22"/>
        <v>214090.32006411441</v>
      </c>
      <c r="BF18" s="641">
        <f t="shared" si="23"/>
        <v>1051198.0324166347</v>
      </c>
      <c r="BH18" s="642">
        <v>5267046</v>
      </c>
      <c r="BI18" s="643">
        <f t="shared" si="24"/>
        <v>0.1995801882908626</v>
      </c>
      <c r="BJ18" s="644">
        <f t="shared" si="25"/>
        <v>1051198.0324166347</v>
      </c>
      <c r="BK18" s="645">
        <f t="shared" si="26"/>
        <v>0</v>
      </c>
      <c r="BM18" s="646">
        <f t="shared" si="27"/>
        <v>1051198.0324166347</v>
      </c>
      <c r="BN18" s="647">
        <f t="shared" si="28"/>
        <v>9.0769959703090441E-3</v>
      </c>
      <c r="BO18" s="648">
        <f t="shared" si="29"/>
        <v>26097.10223880448</v>
      </c>
      <c r="BP18" s="648">
        <f t="shared" si="42"/>
        <v>1077295.1346554393</v>
      </c>
      <c r="BQ18" s="649">
        <f t="shared" si="43"/>
        <v>0.20453497741531768</v>
      </c>
      <c r="BR18" s="142">
        <f t="shared" si="30"/>
        <v>0</v>
      </c>
      <c r="BS18" s="548"/>
      <c r="BT18" s="650">
        <f t="shared" si="31"/>
        <v>5267046</v>
      </c>
      <c r="BU18" s="186">
        <f t="shared" si="44"/>
        <v>0.20453497741531768</v>
      </c>
      <c r="BV18" s="651">
        <f t="shared" si="32"/>
        <v>1077295.1346554393</v>
      </c>
      <c r="BW18" s="652">
        <f t="shared" si="33"/>
        <v>0</v>
      </c>
      <c r="BY18" s="646">
        <f t="shared" si="45"/>
        <v>1077295.1346554393</v>
      </c>
      <c r="BZ18" s="653">
        <f t="shared" si="34"/>
        <v>9.0769959703090441E-3</v>
      </c>
      <c r="CA18" s="654">
        <f t="shared" si="35"/>
        <v>0</v>
      </c>
      <c r="CB18" s="655">
        <f t="shared" si="46"/>
        <v>1077295.1346554393</v>
      </c>
      <c r="CC18" s="190">
        <f t="shared" si="47"/>
        <v>0.20453497741531768</v>
      </c>
      <c r="CD18" s="656">
        <f t="shared" si="36"/>
        <v>0</v>
      </c>
      <c r="CE18" s="657"/>
      <c r="CF18" s="658">
        <f t="shared" si="37"/>
        <v>1580113.8</v>
      </c>
      <c r="CG18" s="654">
        <f t="shared" si="38"/>
        <v>0</v>
      </c>
      <c r="CH18" s="659">
        <f t="shared" si="39"/>
        <v>1077295.1346554393</v>
      </c>
      <c r="CI18" s="660">
        <f t="shared" si="40"/>
        <v>0.20453497741531768</v>
      </c>
      <c r="CL18" s="661">
        <v>0</v>
      </c>
      <c r="CM18" s="662">
        <f t="shared" si="48"/>
        <v>1077295.1346554393</v>
      </c>
      <c r="CN18" s="663">
        <f t="shared" si="49"/>
        <v>0.20453497741531768</v>
      </c>
    </row>
    <row r="19" spans="1:92">
      <c r="A19" s="664" t="s">
        <v>222</v>
      </c>
      <c r="B19" s="626" t="s">
        <v>31</v>
      </c>
      <c r="C19" s="27"/>
      <c r="D19" s="627">
        <v>2126888</v>
      </c>
      <c r="E19" s="175">
        <v>77878</v>
      </c>
      <c r="F19" s="175">
        <v>24727.8</v>
      </c>
      <c r="G19" s="175">
        <v>463883</v>
      </c>
      <c r="H19" s="191">
        <f t="shared" si="0"/>
        <v>3.5409799760936223E-3</v>
      </c>
      <c r="I19" s="110">
        <f t="shared" si="1"/>
        <v>3.5409799760936227E-3</v>
      </c>
      <c r="J19" s="628"/>
      <c r="K19" s="629">
        <v>5.361326293975428</v>
      </c>
      <c r="L19" s="630">
        <v>3.4816356739753909</v>
      </c>
      <c r="M19" s="630">
        <v>3.3501561802766622</v>
      </c>
      <c r="N19" s="630">
        <v>3.1494107846229751</v>
      </c>
      <c r="O19" s="631">
        <f t="shared" si="2"/>
        <v>0.73134212552263556</v>
      </c>
      <c r="P19" s="632">
        <f t="shared" si="3"/>
        <v>2.5896678221494014E-3</v>
      </c>
      <c r="Q19" s="113">
        <f t="shared" si="4"/>
        <v>2.5065892472677133E-3</v>
      </c>
      <c r="R19" s="633">
        <v>0.29459705668644059</v>
      </c>
      <c r="S19" s="630">
        <v>0.18135424146189841</v>
      </c>
      <c r="T19" s="630">
        <v>0.16980829081171064</v>
      </c>
      <c r="U19" s="630">
        <v>0.16788284977030846</v>
      </c>
      <c r="V19" s="631">
        <f t="shared" si="5"/>
        <v>0.73210443369450051</v>
      </c>
      <c r="W19" s="632">
        <f t="shared" si="6"/>
        <v>2.5923671401215874E-3</v>
      </c>
      <c r="X19" s="113">
        <f t="shared" si="7"/>
        <v>2.5124795147436737E-3</v>
      </c>
      <c r="Y19" s="633">
        <v>71.305225243005879</v>
      </c>
      <c r="Z19" s="630">
        <v>79.874363955962622</v>
      </c>
      <c r="AA19" s="630">
        <v>87.91722445336903</v>
      </c>
      <c r="AB19" s="630">
        <v>86.01201886136252</v>
      </c>
      <c r="AC19" s="631">
        <f t="shared" si="8"/>
        <v>1.0196484156589218</v>
      </c>
      <c r="AD19" s="632">
        <f t="shared" si="9"/>
        <v>3.4727460188376347E-3</v>
      </c>
      <c r="AE19" s="113">
        <f t="shared" si="10"/>
        <v>3.4779286216437282E-3</v>
      </c>
      <c r="AF19" s="633">
        <v>3.9181180795800845</v>
      </c>
      <c r="AG19" s="630">
        <v>4.1605601630756928</v>
      </c>
      <c r="AH19" s="630">
        <v>4.456232131871313</v>
      </c>
      <c r="AI19" s="630">
        <v>4.5849664678377957</v>
      </c>
      <c r="AJ19" s="631">
        <f t="shared" si="11"/>
        <v>1.0128076498369882</v>
      </c>
      <c r="AK19" s="632">
        <f t="shared" si="12"/>
        <v>3.4962018470768314E-3</v>
      </c>
      <c r="AL19" s="113">
        <f t="shared" si="13"/>
        <v>3.5014539950975893E-3</v>
      </c>
      <c r="AM19" s="633">
        <v>13.299922693220932</v>
      </c>
      <c r="AN19" s="630">
        <v>22.941620386363031</v>
      </c>
      <c r="AO19" s="630">
        <v>26.242724136553139</v>
      </c>
      <c r="AP19" s="630">
        <v>27.310511312565808</v>
      </c>
      <c r="AQ19" s="634">
        <f t="shared" si="14"/>
        <v>1.5025184960180014</v>
      </c>
      <c r="AR19" s="632">
        <f t="shared" si="15"/>
        <v>2.3566964303454395E-3</v>
      </c>
      <c r="AS19" s="115">
        <f t="shared" si="16"/>
        <v>2.3710412804752918E-3</v>
      </c>
      <c r="AT19" s="628"/>
      <c r="AU19" s="635">
        <f t="shared" si="17"/>
        <v>5.013178494535427E-4</v>
      </c>
      <c r="AV19" s="636">
        <f t="shared" si="18"/>
        <v>5.0249590294873471E-4</v>
      </c>
      <c r="AW19" s="636">
        <f t="shared" si="19"/>
        <v>6.9558572432874572E-4</v>
      </c>
      <c r="AX19" s="636">
        <f t="shared" si="20"/>
        <v>7.0029079901951787E-4</v>
      </c>
      <c r="AY19" s="637">
        <f t="shared" si="21"/>
        <v>4.7420825609505841E-4</v>
      </c>
      <c r="AZ19" s="638">
        <f t="shared" si="41"/>
        <v>-0.18838893434916892</v>
      </c>
      <c r="BA19" s="639">
        <f t="shared" si="22"/>
        <v>63519.41244237285</v>
      </c>
      <c r="BB19" s="640">
        <f t="shared" si="22"/>
        <v>63668.677556156144</v>
      </c>
      <c r="BC19" s="640">
        <f t="shared" si="22"/>
        <v>88134.098079343836</v>
      </c>
      <c r="BD19" s="640">
        <f t="shared" si="22"/>
        <v>88730.253951673338</v>
      </c>
      <c r="BE19" s="640">
        <f t="shared" si="22"/>
        <v>60084.494967242827</v>
      </c>
      <c r="BF19" s="641">
        <f t="shared" si="23"/>
        <v>364136.93699678901</v>
      </c>
      <c r="BH19" s="642">
        <v>2126888</v>
      </c>
      <c r="BI19" s="643">
        <f t="shared" si="24"/>
        <v>0.17120644669432006</v>
      </c>
      <c r="BJ19" s="644">
        <f t="shared" si="25"/>
        <v>364136.93699678901</v>
      </c>
      <c r="BK19" s="645">
        <f t="shared" si="26"/>
        <v>0</v>
      </c>
      <c r="BM19" s="646">
        <f t="shared" si="27"/>
        <v>364136.93699678901</v>
      </c>
      <c r="BN19" s="647">
        <f t="shared" si="28"/>
        <v>3.1442881434642109E-3</v>
      </c>
      <c r="BO19" s="648">
        <f t="shared" si="29"/>
        <v>9040.0843425132043</v>
      </c>
      <c r="BP19" s="648">
        <f t="shared" si="42"/>
        <v>373177.02133930218</v>
      </c>
      <c r="BQ19" s="649">
        <f t="shared" si="43"/>
        <v>0.17545682769346679</v>
      </c>
      <c r="BR19" s="142">
        <f t="shared" si="30"/>
        <v>0</v>
      </c>
      <c r="BS19" s="548"/>
      <c r="BT19" s="650">
        <f t="shared" si="31"/>
        <v>2126888</v>
      </c>
      <c r="BU19" s="186">
        <f t="shared" si="44"/>
        <v>0.17545682769346679</v>
      </c>
      <c r="BV19" s="651">
        <f t="shared" si="32"/>
        <v>373177.02133930218</v>
      </c>
      <c r="BW19" s="652">
        <f t="shared" si="33"/>
        <v>0</v>
      </c>
      <c r="BY19" s="646">
        <f t="shared" si="45"/>
        <v>373177.02133930218</v>
      </c>
      <c r="BZ19" s="653">
        <f t="shared" si="34"/>
        <v>3.1442881434642104E-3</v>
      </c>
      <c r="CA19" s="654">
        <f t="shared" si="35"/>
        <v>0</v>
      </c>
      <c r="CB19" s="655">
        <f t="shared" si="46"/>
        <v>373177.02133930218</v>
      </c>
      <c r="CC19" s="190">
        <f t="shared" si="47"/>
        <v>0.17545682769346679</v>
      </c>
      <c r="CD19" s="656">
        <f t="shared" si="36"/>
        <v>0</v>
      </c>
      <c r="CE19" s="657"/>
      <c r="CF19" s="658">
        <f t="shared" si="37"/>
        <v>638066.4</v>
      </c>
      <c r="CG19" s="654">
        <f t="shared" si="38"/>
        <v>0</v>
      </c>
      <c r="CH19" s="659">
        <f t="shared" si="39"/>
        <v>373177.02133930218</v>
      </c>
      <c r="CI19" s="660">
        <f t="shared" si="40"/>
        <v>0.17545682769346679</v>
      </c>
      <c r="CL19" s="661">
        <v>0</v>
      </c>
      <c r="CM19" s="662">
        <f t="shared" si="48"/>
        <v>373177.02133930218</v>
      </c>
      <c r="CN19" s="663">
        <f t="shared" si="49"/>
        <v>0.17545682769346679</v>
      </c>
    </row>
    <row r="20" spans="1:92">
      <c r="A20" s="664" t="s">
        <v>222</v>
      </c>
      <c r="B20" s="626" t="s">
        <v>41</v>
      </c>
      <c r="C20" s="27"/>
      <c r="D20" s="627">
        <v>225862</v>
      </c>
      <c r="E20" s="175">
        <v>11821</v>
      </c>
      <c r="F20" s="175">
        <v>2826</v>
      </c>
      <c r="G20" s="175">
        <v>53914</v>
      </c>
      <c r="H20" s="191">
        <f t="shared" si="0"/>
        <v>4.0741375187906012E-4</v>
      </c>
      <c r="I20" s="110">
        <f t="shared" si="1"/>
        <v>4.0741375187906018E-4</v>
      </c>
      <c r="J20" s="628"/>
      <c r="K20" s="629">
        <v>1.3415032679738561</v>
      </c>
      <c r="L20" s="630">
        <v>1.759546925566343</v>
      </c>
      <c r="M20" s="630">
        <v>3.4945302445302446</v>
      </c>
      <c r="N20" s="630">
        <v>4.1829440905874025</v>
      </c>
      <c r="O20" s="631">
        <f t="shared" si="2"/>
        <v>1.2707041716788596</v>
      </c>
      <c r="P20" s="632">
        <f t="shared" si="3"/>
        <v>5.1770235411205759E-4</v>
      </c>
      <c r="Q20" s="113">
        <f t="shared" si="4"/>
        <v>5.0109405654406023E-4</v>
      </c>
      <c r="R20" s="633">
        <v>8.4451119157340354E-2</v>
      </c>
      <c r="S20" s="630">
        <v>0.10382691059084138</v>
      </c>
      <c r="T20" s="630">
        <v>0.19750504628030041</v>
      </c>
      <c r="U20" s="630">
        <v>0.21925659383462551</v>
      </c>
      <c r="V20" s="631">
        <f t="shared" si="5"/>
        <v>1.2027212402786347</v>
      </c>
      <c r="W20" s="632">
        <f t="shared" si="6"/>
        <v>4.900051729665552E-4</v>
      </c>
      <c r="X20" s="113">
        <f t="shared" si="7"/>
        <v>4.7490493925145109E-4</v>
      </c>
      <c r="Y20" s="633">
        <v>49.306209150326801</v>
      </c>
      <c r="Z20" s="630">
        <v>54.219417475728157</v>
      </c>
      <c r="AA20" s="630">
        <v>62.816602316602314</v>
      </c>
      <c r="AB20" s="630">
        <v>79.922859164897375</v>
      </c>
      <c r="AC20" s="631">
        <f t="shared" si="8"/>
        <v>1.1250369583058519</v>
      </c>
      <c r="AD20" s="632">
        <f t="shared" si="9"/>
        <v>3.6213366047331297E-4</v>
      </c>
      <c r="AE20" s="113">
        <f t="shared" si="10"/>
        <v>3.6267409588516553E-4</v>
      </c>
      <c r="AF20" s="633">
        <v>3.103954081632653</v>
      </c>
      <c r="AG20" s="630">
        <v>3.1993660008402398</v>
      </c>
      <c r="AH20" s="630">
        <v>3.5502900474623118</v>
      </c>
      <c r="AI20" s="630">
        <v>4.1893014801350299</v>
      </c>
      <c r="AJ20" s="631">
        <f t="shared" si="11"/>
        <v>1.0625424592304593</v>
      </c>
      <c r="AK20" s="632">
        <f t="shared" si="12"/>
        <v>3.8343291445889837E-4</v>
      </c>
      <c r="AL20" s="113">
        <f t="shared" si="13"/>
        <v>3.8400892422917309E-4</v>
      </c>
      <c r="AM20" s="633">
        <v>36.754445797807549</v>
      </c>
      <c r="AN20" s="630">
        <v>30.814419716755562</v>
      </c>
      <c r="AO20" s="630">
        <v>17.97569284596262</v>
      </c>
      <c r="AP20" s="630">
        <v>19.106843752643602</v>
      </c>
      <c r="AQ20" s="634">
        <f t="shared" si="14"/>
        <v>0.93210492020148372</v>
      </c>
      <c r="AR20" s="632">
        <f t="shared" si="15"/>
        <v>4.3709001320472979E-4</v>
      </c>
      <c r="AS20" s="115">
        <f t="shared" si="16"/>
        <v>4.3975051315370197E-4</v>
      </c>
      <c r="AT20" s="628"/>
      <c r="AU20" s="635">
        <f t="shared" si="17"/>
        <v>1.0021881130881205E-4</v>
      </c>
      <c r="AV20" s="636">
        <f t="shared" si="18"/>
        <v>9.4980987850290218E-5</v>
      </c>
      <c r="AW20" s="636">
        <f t="shared" si="19"/>
        <v>7.2534819177033112E-5</v>
      </c>
      <c r="AX20" s="636">
        <f t="shared" si="20"/>
        <v>7.6801784845834629E-5</v>
      </c>
      <c r="AY20" s="637">
        <f t="shared" si="21"/>
        <v>8.7950102630740396E-5</v>
      </c>
      <c r="AZ20" s="638">
        <f t="shared" si="41"/>
        <v>6.1541255831474746E-2</v>
      </c>
      <c r="BA20" s="639">
        <f t="shared" si="22"/>
        <v>12698.21135821875</v>
      </c>
      <c r="BB20" s="640">
        <f t="shared" si="22"/>
        <v>12034.553623061614</v>
      </c>
      <c r="BC20" s="640">
        <f t="shared" si="22"/>
        <v>9190.5147617646689</v>
      </c>
      <c r="BD20" s="640">
        <f t="shared" si="22"/>
        <v>9731.1600878576628</v>
      </c>
      <c r="BE20" s="640">
        <f t="shared" si="22"/>
        <v>11143.706232364517</v>
      </c>
      <c r="BF20" s="641">
        <f t="shared" si="23"/>
        <v>54798.14606326721</v>
      </c>
      <c r="BH20" s="642">
        <v>225862</v>
      </c>
      <c r="BI20" s="643">
        <f t="shared" si="24"/>
        <v>0.24261782001074642</v>
      </c>
      <c r="BJ20" s="644">
        <f t="shared" si="25"/>
        <v>54798.14606326721</v>
      </c>
      <c r="BK20" s="645">
        <f t="shared" si="26"/>
        <v>0</v>
      </c>
      <c r="BM20" s="646">
        <f t="shared" si="27"/>
        <v>54798.14606326721</v>
      </c>
      <c r="BN20" s="647">
        <f t="shared" si="28"/>
        <v>4.7317682839758296E-4</v>
      </c>
      <c r="BO20" s="648">
        <f t="shared" si="29"/>
        <v>1360.4218959793739</v>
      </c>
      <c r="BP20" s="648">
        <f t="shared" si="42"/>
        <v>56158.567959246582</v>
      </c>
      <c r="BQ20" s="649">
        <f t="shared" si="43"/>
        <v>0.2486410638321036</v>
      </c>
      <c r="BR20" s="142">
        <f t="shared" si="30"/>
        <v>0</v>
      </c>
      <c r="BS20" s="548"/>
      <c r="BT20" s="650">
        <f t="shared" si="31"/>
        <v>225862</v>
      </c>
      <c r="BU20" s="186">
        <f t="shared" si="44"/>
        <v>0.2486410638321036</v>
      </c>
      <c r="BV20" s="651">
        <f t="shared" si="32"/>
        <v>56158.567959246582</v>
      </c>
      <c r="BW20" s="652">
        <f t="shared" si="33"/>
        <v>0</v>
      </c>
      <c r="BY20" s="646">
        <f t="shared" si="45"/>
        <v>56158.567959246582</v>
      </c>
      <c r="BZ20" s="653">
        <f t="shared" si="34"/>
        <v>4.7317682839758296E-4</v>
      </c>
      <c r="CA20" s="654">
        <f t="shared" si="35"/>
        <v>0</v>
      </c>
      <c r="CB20" s="655">
        <f t="shared" si="46"/>
        <v>56158.567959246582</v>
      </c>
      <c r="CC20" s="190">
        <f t="shared" si="47"/>
        <v>0.2486410638321036</v>
      </c>
      <c r="CD20" s="656">
        <f t="shared" si="36"/>
        <v>0</v>
      </c>
      <c r="CE20" s="657"/>
      <c r="CF20" s="658">
        <f t="shared" si="37"/>
        <v>67758.599999999991</v>
      </c>
      <c r="CG20" s="654">
        <f t="shared" si="38"/>
        <v>0</v>
      </c>
      <c r="CH20" s="659">
        <f t="shared" si="39"/>
        <v>56158.567959246582</v>
      </c>
      <c r="CI20" s="660">
        <f t="shared" si="40"/>
        <v>0.2486410638321036</v>
      </c>
      <c r="CL20" s="661">
        <v>685.4</v>
      </c>
      <c r="CM20" s="662">
        <f t="shared" si="48"/>
        <v>56843.967959246584</v>
      </c>
      <c r="CN20" s="663">
        <f t="shared" si="49"/>
        <v>0.25167566017854526</v>
      </c>
    </row>
    <row r="21" spans="1:92">
      <c r="A21" s="664" t="s">
        <v>222</v>
      </c>
      <c r="B21" s="626" t="s">
        <v>42</v>
      </c>
      <c r="C21" s="27"/>
      <c r="D21" s="627">
        <v>129210017</v>
      </c>
      <c r="E21" s="175">
        <v>8574727</v>
      </c>
      <c r="F21" s="175">
        <v>1002985.3500000001</v>
      </c>
      <c r="G21" s="175">
        <v>13608118.7366</v>
      </c>
      <c r="H21" s="191">
        <f t="shared" si="0"/>
        <v>0.20409518551192585</v>
      </c>
      <c r="I21" s="110">
        <f t="shared" si="1"/>
        <v>0.20409518551192588</v>
      </c>
      <c r="J21" s="628"/>
      <c r="K21" s="629">
        <v>6.640780447028594</v>
      </c>
      <c r="L21" s="630">
        <v>7.1961861955660096</v>
      </c>
      <c r="M21" s="630">
        <v>7.4695517602798605</v>
      </c>
      <c r="N21" s="630">
        <v>8.5492046319520014</v>
      </c>
      <c r="O21" s="631">
        <f t="shared" si="2"/>
        <v>0.92912615428559064</v>
      </c>
      <c r="P21" s="632">
        <f t="shared" si="3"/>
        <v>0.18963017482289987</v>
      </c>
      <c r="Q21" s="113">
        <f t="shared" si="4"/>
        <v>0.1835466900824608</v>
      </c>
      <c r="R21" s="633">
        <v>0.46622665154015291</v>
      </c>
      <c r="S21" s="630">
        <v>0.49455273703023678</v>
      </c>
      <c r="T21" s="630">
        <v>0.51854760762331398</v>
      </c>
      <c r="U21" s="630">
        <v>0.6301184730948638</v>
      </c>
      <c r="V21" s="631">
        <f t="shared" si="5"/>
        <v>0.95181830349680541</v>
      </c>
      <c r="W21" s="632">
        <f t="shared" si="6"/>
        <v>0.19426153322582707</v>
      </c>
      <c r="X21" s="113">
        <f t="shared" si="7"/>
        <v>0.18827507692822248</v>
      </c>
      <c r="Y21" s="633">
        <v>107.97198556298591</v>
      </c>
      <c r="Z21" s="630">
        <v>112.49719845156518</v>
      </c>
      <c r="AA21" s="630">
        <v>125.82563161812979</v>
      </c>
      <c r="AB21" s="630">
        <v>129.05743638229609</v>
      </c>
      <c r="AC21" s="631">
        <f t="shared" si="8"/>
        <v>1.0144497417422516</v>
      </c>
      <c r="AD21" s="632">
        <f t="shared" si="9"/>
        <v>0.20118806986081503</v>
      </c>
      <c r="AE21" s="113">
        <f t="shared" si="10"/>
        <v>0.2014883157900472</v>
      </c>
      <c r="AF21" s="633">
        <v>7.5803465708156237</v>
      </c>
      <c r="AG21" s="630">
        <v>7.7312893094311175</v>
      </c>
      <c r="AH21" s="630">
        <v>8.735006108429328</v>
      </c>
      <c r="AI21" s="630">
        <v>9.512168471300491</v>
      </c>
      <c r="AJ21" s="631">
        <f t="shared" si="11"/>
        <v>1.0358017781168538</v>
      </c>
      <c r="AK21" s="632">
        <f t="shared" si="12"/>
        <v>0.1970407753913905</v>
      </c>
      <c r="AL21" s="113">
        <f t="shared" si="13"/>
        <v>0.19733677870119534</v>
      </c>
      <c r="AM21" s="633">
        <v>16.258930170067252</v>
      </c>
      <c r="AN21" s="630">
        <v>15.632891561488677</v>
      </c>
      <c r="AO21" s="630">
        <v>16.845138189847084</v>
      </c>
      <c r="AP21" s="630">
        <v>15.095841302002967</v>
      </c>
      <c r="AQ21" s="631">
        <f t="shared" si="14"/>
        <v>1.105548154721899</v>
      </c>
      <c r="AR21" s="632">
        <f t="shared" si="15"/>
        <v>0.18460994633315278</v>
      </c>
      <c r="AS21" s="115">
        <f t="shared" si="16"/>
        <v>0.18573363879457047</v>
      </c>
      <c r="AT21" s="628"/>
      <c r="AU21" s="635">
        <f t="shared" si="17"/>
        <v>3.6709338016492163E-2</v>
      </c>
      <c r="AV21" s="636">
        <f t="shared" si="18"/>
        <v>3.7655015385644502E-2</v>
      </c>
      <c r="AW21" s="636">
        <f t="shared" si="19"/>
        <v>4.0297663158009443E-2</v>
      </c>
      <c r="AX21" s="636">
        <f t="shared" si="20"/>
        <v>3.9467355740239074E-2</v>
      </c>
      <c r="AY21" s="637">
        <f t="shared" si="21"/>
        <v>3.7146727758914096E-2</v>
      </c>
      <c r="AZ21" s="638">
        <f t="shared" si="41"/>
        <v>-6.2809347611374966E-2</v>
      </c>
      <c r="BA21" s="639">
        <f t="shared" si="22"/>
        <v>4651251.8644563593</v>
      </c>
      <c r="BB21" s="640">
        <f t="shared" si="22"/>
        <v>4771073.7916310709</v>
      </c>
      <c r="BC21" s="640">
        <f t="shared" si="22"/>
        <v>5105910.1314417124</v>
      </c>
      <c r="BD21" s="640">
        <f t="shared" si="22"/>
        <v>5000706.1388433902</v>
      </c>
      <c r="BE21" s="640">
        <f t="shared" si="22"/>
        <v>4706671.2744718743</v>
      </c>
      <c r="BF21" s="641">
        <f t="shared" si="23"/>
        <v>24235613.200844407</v>
      </c>
      <c r="BH21" s="642">
        <v>129442718</v>
      </c>
      <c r="BI21" s="643">
        <f t="shared" si="24"/>
        <v>0.18723041029503418</v>
      </c>
      <c r="BJ21" s="644">
        <f t="shared" si="25"/>
        <v>24235613.200844407</v>
      </c>
      <c r="BK21" s="645">
        <f t="shared" si="26"/>
        <v>0</v>
      </c>
      <c r="BM21" s="646">
        <f t="shared" si="27"/>
        <v>24235613.200844407</v>
      </c>
      <c r="BN21" s="647">
        <f t="shared" si="28"/>
        <v>0.20927223660826189</v>
      </c>
      <c r="BO21" s="648">
        <f t="shared" si="29"/>
        <v>601674.71401038289</v>
      </c>
      <c r="BP21" s="648">
        <f t="shared" si="42"/>
        <v>24837287.914854791</v>
      </c>
      <c r="BQ21" s="649">
        <f t="shared" si="43"/>
        <v>0.19187860312740646</v>
      </c>
      <c r="BR21" s="142">
        <f t="shared" si="30"/>
        <v>0</v>
      </c>
      <c r="BS21" s="548"/>
      <c r="BT21" s="650">
        <f t="shared" si="31"/>
        <v>129442718</v>
      </c>
      <c r="BU21" s="186">
        <f t="shared" si="44"/>
        <v>0.19187860312740646</v>
      </c>
      <c r="BV21" s="651">
        <f t="shared" si="32"/>
        <v>24837287.914854791</v>
      </c>
      <c r="BW21" s="652">
        <f t="shared" si="33"/>
        <v>0</v>
      </c>
      <c r="BY21" s="646">
        <f t="shared" si="45"/>
        <v>24837287.914854791</v>
      </c>
      <c r="BZ21" s="653">
        <f t="shared" si="34"/>
        <v>0.20927223660826189</v>
      </c>
      <c r="CA21" s="654">
        <f t="shared" si="35"/>
        <v>0</v>
      </c>
      <c r="CB21" s="655">
        <f t="shared" si="46"/>
        <v>24837287.914854791</v>
      </c>
      <c r="CC21" s="190">
        <f t="shared" si="47"/>
        <v>0.19187860312740646</v>
      </c>
      <c r="CD21" s="656">
        <f t="shared" si="36"/>
        <v>0</v>
      </c>
      <c r="CE21" s="657"/>
      <c r="CF21" s="658">
        <f t="shared" si="37"/>
        <v>38832815.399999999</v>
      </c>
      <c r="CG21" s="654">
        <f t="shared" si="38"/>
        <v>0</v>
      </c>
      <c r="CH21" s="659">
        <f t="shared" si="39"/>
        <v>24837287.914854791</v>
      </c>
      <c r="CI21" s="660">
        <f t="shared" si="40"/>
        <v>0.19187860312740646</v>
      </c>
      <c r="CL21" s="661">
        <v>0</v>
      </c>
      <c r="CM21" s="662">
        <f t="shared" si="48"/>
        <v>24837287.914854791</v>
      </c>
      <c r="CN21" s="663">
        <f t="shared" si="49"/>
        <v>0.19187860312740646</v>
      </c>
    </row>
    <row r="22" spans="1:92">
      <c r="A22" s="664" t="s">
        <v>222</v>
      </c>
      <c r="B22" s="626" t="s">
        <v>53</v>
      </c>
      <c r="C22" s="27"/>
      <c r="D22" s="627">
        <v>1304126</v>
      </c>
      <c r="E22" s="175">
        <v>101901</v>
      </c>
      <c r="F22" s="175">
        <v>20119</v>
      </c>
      <c r="G22" s="175">
        <v>529269</v>
      </c>
      <c r="H22" s="191">
        <f t="shared" si="0"/>
        <v>2.953904128867103E-3</v>
      </c>
      <c r="I22" s="110">
        <f t="shared" si="1"/>
        <v>2.9539041288671034E-3</v>
      </c>
      <c r="J22" s="628"/>
      <c r="K22" s="629">
        <v>2.5445369916707494</v>
      </c>
      <c r="L22" s="630">
        <v>3.1323175227328584</v>
      </c>
      <c r="M22" s="630">
        <v>4.5268015794669303</v>
      </c>
      <c r="N22" s="630">
        <v>5.0649137631094989</v>
      </c>
      <c r="O22" s="631">
        <f t="shared" si="2"/>
        <v>1.073695224756283</v>
      </c>
      <c r="P22" s="632">
        <f t="shared" si="3"/>
        <v>3.1715927575524769E-3</v>
      </c>
      <c r="Q22" s="113">
        <f t="shared" si="4"/>
        <v>3.0698455743234524E-3</v>
      </c>
      <c r="R22" s="633">
        <v>0.1120356208297289</v>
      </c>
      <c r="S22" s="630">
        <v>0.13193504175827817</v>
      </c>
      <c r="T22" s="630">
        <v>0.17952070654971744</v>
      </c>
      <c r="U22" s="630">
        <v>0.1925315860176961</v>
      </c>
      <c r="V22" s="631">
        <f t="shared" si="5"/>
        <v>1.025802652359719</v>
      </c>
      <c r="W22" s="632">
        <f t="shared" si="6"/>
        <v>3.0301226902081997E-3</v>
      </c>
      <c r="X22" s="113">
        <f t="shared" si="7"/>
        <v>2.9367449804779664E-3</v>
      </c>
      <c r="Y22" s="633">
        <v>48.696570308672221</v>
      </c>
      <c r="Z22" s="630">
        <v>59.030916687146721</v>
      </c>
      <c r="AA22" s="630">
        <v>61.540424481737411</v>
      </c>
      <c r="AB22" s="630">
        <v>66.988568020279331</v>
      </c>
      <c r="AC22" s="631">
        <f t="shared" si="8"/>
        <v>1.0677662862612751</v>
      </c>
      <c r="AD22" s="632">
        <f t="shared" si="9"/>
        <v>2.7664332231447726E-3</v>
      </c>
      <c r="AE22" s="113">
        <f t="shared" si="10"/>
        <v>2.7705617498229025E-3</v>
      </c>
      <c r="AF22" s="633">
        <v>2.1441034281165527</v>
      </c>
      <c r="AG22" s="630">
        <v>2.4864166552799274</v>
      </c>
      <c r="AH22" s="630">
        <v>2.4405267804187702</v>
      </c>
      <c r="AI22" s="630">
        <v>2.5464234633050489</v>
      </c>
      <c r="AJ22" s="631">
        <f t="shared" si="11"/>
        <v>1.0231988179124334</v>
      </c>
      <c r="AK22" s="632">
        <f t="shared" si="12"/>
        <v>2.886930748115761E-3</v>
      </c>
      <c r="AL22" s="113">
        <f t="shared" si="13"/>
        <v>2.8912676223232553E-3</v>
      </c>
      <c r="AM22" s="633">
        <v>19.13769399622598</v>
      </c>
      <c r="AN22" s="630">
        <v>18.84576396189998</v>
      </c>
      <c r="AO22" s="630">
        <v>13.594681233849073</v>
      </c>
      <c r="AP22" s="630">
        <v>13.226003670228948</v>
      </c>
      <c r="AQ22" s="634">
        <f t="shared" si="14"/>
        <v>1.0129687350188592</v>
      </c>
      <c r="AR22" s="632">
        <f t="shared" si="15"/>
        <v>2.9160861799077229E-3</v>
      </c>
      <c r="AS22" s="115">
        <f t="shared" si="16"/>
        <v>2.9338359497456555E-3</v>
      </c>
      <c r="AT22" s="628"/>
      <c r="AU22" s="635">
        <f t="shared" si="17"/>
        <v>6.1396911486469048E-4</v>
      </c>
      <c r="AV22" s="636">
        <f t="shared" si="18"/>
        <v>5.8734899609559328E-4</v>
      </c>
      <c r="AW22" s="636">
        <f t="shared" si="19"/>
        <v>5.5411234996458048E-4</v>
      </c>
      <c r="AX22" s="636">
        <f t="shared" si="20"/>
        <v>5.7825352446465111E-4</v>
      </c>
      <c r="AY22" s="637">
        <f t="shared" si="21"/>
        <v>5.8676718994913116E-4</v>
      </c>
      <c r="AZ22" s="638">
        <f t="shared" si="41"/>
        <v>-1.1324996367193198E-2</v>
      </c>
      <c r="BA22" s="639">
        <f t="shared" si="22"/>
        <v>77792.876268976557</v>
      </c>
      <c r="BB22" s="640">
        <f t="shared" si="22"/>
        <v>74419.977607573659</v>
      </c>
      <c r="BC22" s="640">
        <f t="shared" si="22"/>
        <v>70208.732713544319</v>
      </c>
      <c r="BD22" s="640">
        <f t="shared" si="22"/>
        <v>73267.537066081917</v>
      </c>
      <c r="BE22" s="640">
        <f t="shared" si="22"/>
        <v>74346.259936002782</v>
      </c>
      <c r="BF22" s="641">
        <f t="shared" si="23"/>
        <v>370035.38359217928</v>
      </c>
      <c r="BH22" s="642">
        <v>1347743</v>
      </c>
      <c r="BI22" s="643">
        <f t="shared" si="24"/>
        <v>0.27455930662758349</v>
      </c>
      <c r="BJ22" s="644">
        <f t="shared" si="25"/>
        <v>370035.38359217928</v>
      </c>
      <c r="BK22" s="645">
        <f t="shared" si="26"/>
        <v>0</v>
      </c>
      <c r="BM22" s="646">
        <f t="shared" si="27"/>
        <v>370035.38359217928</v>
      </c>
      <c r="BN22" s="647">
        <f t="shared" si="28"/>
        <v>3.1952206740877274E-3</v>
      </c>
      <c r="BO22" s="648">
        <f t="shared" si="29"/>
        <v>9186.5195137208102</v>
      </c>
      <c r="BP22" s="648">
        <f t="shared" si="42"/>
        <v>379221.9031059001</v>
      </c>
      <c r="BQ22" s="649">
        <f t="shared" si="43"/>
        <v>0.28137553161537482</v>
      </c>
      <c r="BR22" s="142">
        <f t="shared" si="30"/>
        <v>0</v>
      </c>
      <c r="BS22" s="548"/>
      <c r="BT22" s="650">
        <f t="shared" si="31"/>
        <v>1347743</v>
      </c>
      <c r="BU22" s="186">
        <f t="shared" si="44"/>
        <v>0.28137553161537482</v>
      </c>
      <c r="BV22" s="651">
        <f t="shared" si="32"/>
        <v>379221.9031059001</v>
      </c>
      <c r="BW22" s="652">
        <f t="shared" si="33"/>
        <v>0</v>
      </c>
      <c r="BY22" s="646">
        <f t="shared" si="45"/>
        <v>379221.9031059001</v>
      </c>
      <c r="BZ22" s="653">
        <f t="shared" si="34"/>
        <v>3.1952206740877274E-3</v>
      </c>
      <c r="CA22" s="654">
        <f t="shared" si="35"/>
        <v>0</v>
      </c>
      <c r="CB22" s="655">
        <f t="shared" si="46"/>
        <v>379221.9031059001</v>
      </c>
      <c r="CC22" s="190">
        <f t="shared" si="47"/>
        <v>0.28137553161537482</v>
      </c>
      <c r="CD22" s="656">
        <f t="shared" si="36"/>
        <v>0</v>
      </c>
      <c r="CE22" s="657"/>
      <c r="CF22" s="658">
        <f t="shared" si="37"/>
        <v>404322.89999999997</v>
      </c>
      <c r="CG22" s="654">
        <f t="shared" si="38"/>
        <v>0</v>
      </c>
      <c r="CH22" s="659">
        <f t="shared" si="39"/>
        <v>379221.9031059001</v>
      </c>
      <c r="CI22" s="660">
        <f t="shared" si="40"/>
        <v>0.28137553161537482</v>
      </c>
      <c r="CL22" s="661">
        <v>0</v>
      </c>
      <c r="CM22" s="662">
        <f t="shared" si="48"/>
        <v>379221.9031059001</v>
      </c>
      <c r="CN22" s="663">
        <f t="shared" si="49"/>
        <v>0.28137553161537482</v>
      </c>
    </row>
    <row r="23" spans="1:92">
      <c r="A23" s="664" t="s">
        <v>222</v>
      </c>
      <c r="B23" s="626" t="s">
        <v>59</v>
      </c>
      <c r="C23" s="27"/>
      <c r="D23" s="627">
        <v>69734</v>
      </c>
      <c r="E23" s="175">
        <v>6243</v>
      </c>
      <c r="F23" s="175">
        <v>3135</v>
      </c>
      <c r="G23" s="175">
        <v>11686</v>
      </c>
      <c r="H23" s="176">
        <f t="shared" si="0"/>
        <v>1.8125058864803796E-4</v>
      </c>
      <c r="I23" s="110">
        <f t="shared" si="1"/>
        <v>1.8125058864803799E-4</v>
      </c>
      <c r="J23" s="628"/>
      <c r="K23" s="629">
        <v>1.0119225037257824</v>
      </c>
      <c r="L23" s="630">
        <v>3.4102272727272727</v>
      </c>
      <c r="M23" s="630">
        <v>6.2649402390438249</v>
      </c>
      <c r="N23" s="630">
        <v>1.9913875598086124</v>
      </c>
      <c r="O23" s="631">
        <f t="shared" si="2"/>
        <v>1.4905641336229849</v>
      </c>
      <c r="P23" s="632">
        <f t="shared" si="3"/>
        <v>2.7016562663681877E-4</v>
      </c>
      <c r="Q23" s="113">
        <f t="shared" si="4"/>
        <v>2.6149850143603683E-4</v>
      </c>
      <c r="R23" s="633">
        <v>0.14279705573080967</v>
      </c>
      <c r="S23" s="630">
        <v>0.44282130736314002</v>
      </c>
      <c r="T23" s="630">
        <v>0.67765567765567769</v>
      </c>
      <c r="U23" s="630">
        <v>0.53422899195618689</v>
      </c>
      <c r="V23" s="631">
        <f t="shared" si="5"/>
        <v>1.4948703613430017</v>
      </c>
      <c r="W23" s="632">
        <f t="shared" si="6"/>
        <v>2.7094613294592428E-4</v>
      </c>
      <c r="X23" s="113">
        <f t="shared" si="7"/>
        <v>2.6259652735519644E-4</v>
      </c>
      <c r="Y23" s="633">
        <v>58.488077496274215</v>
      </c>
      <c r="Z23" s="630">
        <v>76.226136363636357</v>
      </c>
      <c r="AA23" s="630">
        <v>100.44621513944223</v>
      </c>
      <c r="AB23" s="630">
        <v>22.741307814992027</v>
      </c>
      <c r="AC23" s="631">
        <f t="shared" si="8"/>
        <v>0.90437497433822445</v>
      </c>
      <c r="AD23" s="632">
        <f t="shared" si="9"/>
        <v>2.0041530757821768E-4</v>
      </c>
      <c r="AE23" s="113">
        <f t="shared" si="10"/>
        <v>2.0071440026446792E-4</v>
      </c>
      <c r="AF23" s="633">
        <v>8.2535226077812833</v>
      </c>
      <c r="AG23" s="630">
        <v>9.8980374797107871</v>
      </c>
      <c r="AH23" s="630">
        <v>10.864899806076277</v>
      </c>
      <c r="AI23" s="630">
        <v>6.1008043813109705</v>
      </c>
      <c r="AJ23" s="631">
        <f t="shared" si="11"/>
        <v>0.91713678138535648</v>
      </c>
      <c r="AK23" s="632">
        <f t="shared" si="12"/>
        <v>1.976265616283045E-4</v>
      </c>
      <c r="AL23" s="113">
        <f t="shared" si="13"/>
        <v>1.97923444931931E-4</v>
      </c>
      <c r="AM23" s="633">
        <v>57.798969072164951</v>
      </c>
      <c r="AN23" s="630">
        <v>22.352215928023991</v>
      </c>
      <c r="AO23" s="630">
        <v>16.033068362480126</v>
      </c>
      <c r="AP23" s="630">
        <v>11.419830209835014</v>
      </c>
      <c r="AQ23" s="634">
        <f t="shared" si="14"/>
        <v>0.66856560434544443</v>
      </c>
      <c r="AR23" s="632">
        <f t="shared" si="15"/>
        <v>2.7110366951271808E-4</v>
      </c>
      <c r="AS23" s="115">
        <f t="shared" si="16"/>
        <v>2.727538360164467E-4</v>
      </c>
      <c r="AT23" s="628"/>
      <c r="AU23" s="635">
        <f t="shared" si="17"/>
        <v>5.2299700287207368E-5</v>
      </c>
      <c r="AV23" s="636">
        <f t="shared" si="18"/>
        <v>5.2519305471039288E-5</v>
      </c>
      <c r="AW23" s="636">
        <f t="shared" si="19"/>
        <v>4.0142880052893586E-5</v>
      </c>
      <c r="AX23" s="636">
        <f t="shared" si="20"/>
        <v>3.9584688986386206E-5</v>
      </c>
      <c r="AY23" s="637">
        <f t="shared" si="21"/>
        <v>5.455076720328934E-5</v>
      </c>
      <c r="AZ23" s="638">
        <f t="shared" si="41"/>
        <v>0.31915346473774875</v>
      </c>
      <c r="BA23" s="639">
        <f t="shared" si="22"/>
        <v>6626.6266736298721</v>
      </c>
      <c r="BB23" s="640">
        <f t="shared" si="22"/>
        <v>6654.4517196790166</v>
      </c>
      <c r="BC23" s="640">
        <f t="shared" si="22"/>
        <v>5086.2983583845953</v>
      </c>
      <c r="BD23" s="640">
        <f t="shared" si="22"/>
        <v>5015.5728324258071</v>
      </c>
      <c r="BE23" s="640">
        <f t="shared" si="22"/>
        <v>6911.8478123422719</v>
      </c>
      <c r="BF23" s="641">
        <f t="shared" si="23"/>
        <v>30294.797396461563</v>
      </c>
      <c r="BH23" s="642">
        <v>71294</v>
      </c>
      <c r="BI23" s="643">
        <f t="shared" si="24"/>
        <v>0.42492772738886248</v>
      </c>
      <c r="BJ23" s="644">
        <f t="shared" si="25"/>
        <v>21388.2</v>
      </c>
      <c r="BK23" s="645">
        <f t="shared" si="26"/>
        <v>8906.5973964615623</v>
      </c>
      <c r="BM23" s="646">
        <f t="shared" si="27"/>
        <v>0</v>
      </c>
      <c r="BN23" s="647">
        <f t="shared" si="28"/>
        <v>0</v>
      </c>
      <c r="BO23" s="648">
        <f t="shared" si="29"/>
        <v>0</v>
      </c>
      <c r="BP23" s="648">
        <f t="shared" si="42"/>
        <v>21388.2</v>
      </c>
      <c r="BQ23" s="649">
        <f t="shared" si="43"/>
        <v>0.3</v>
      </c>
      <c r="BR23" s="142">
        <f t="shared" si="30"/>
        <v>0</v>
      </c>
      <c r="BS23" s="548"/>
      <c r="BT23" s="650">
        <f t="shared" si="31"/>
        <v>71294</v>
      </c>
      <c r="BU23" s="186">
        <f t="shared" si="44"/>
        <v>0.3</v>
      </c>
      <c r="BV23" s="651">
        <f t="shared" si="32"/>
        <v>21388.2</v>
      </c>
      <c r="BW23" s="652">
        <f t="shared" si="33"/>
        <v>0</v>
      </c>
      <c r="BY23" s="646">
        <f t="shared" si="45"/>
        <v>0</v>
      </c>
      <c r="BZ23" s="653">
        <f t="shared" si="34"/>
        <v>0</v>
      </c>
      <c r="CA23" s="654">
        <f t="shared" si="35"/>
        <v>0</v>
      </c>
      <c r="CB23" s="655">
        <f t="shared" si="46"/>
        <v>21388.2</v>
      </c>
      <c r="CC23" s="190">
        <f t="shared" si="47"/>
        <v>0.3</v>
      </c>
      <c r="CD23" s="656">
        <f t="shared" si="36"/>
        <v>0</v>
      </c>
      <c r="CE23" s="657"/>
      <c r="CF23" s="658">
        <f t="shared" si="37"/>
        <v>21388.2</v>
      </c>
      <c r="CG23" s="654">
        <f t="shared" si="38"/>
        <v>0</v>
      </c>
      <c r="CH23" s="659">
        <f t="shared" si="39"/>
        <v>21388.2</v>
      </c>
      <c r="CI23" s="660">
        <f t="shared" si="40"/>
        <v>0.3</v>
      </c>
      <c r="CL23" s="661">
        <v>0</v>
      </c>
      <c r="CM23" s="662">
        <f t="shared" si="48"/>
        <v>21388.2</v>
      </c>
      <c r="CN23" s="663">
        <f t="shared" si="49"/>
        <v>0.3</v>
      </c>
    </row>
    <row r="24" spans="1:92">
      <c r="A24" s="664" t="s">
        <v>222</v>
      </c>
      <c r="B24" s="626" t="s">
        <v>61</v>
      </c>
      <c r="C24" s="27"/>
      <c r="D24" s="627">
        <v>7769877</v>
      </c>
      <c r="E24" s="175">
        <v>1423486</v>
      </c>
      <c r="F24" s="175">
        <v>68607</v>
      </c>
      <c r="G24" s="175">
        <v>1127856</v>
      </c>
      <c r="H24" s="191">
        <f t="shared" si="0"/>
        <v>1.8048666104171336E-2</v>
      </c>
      <c r="I24" s="110">
        <f t="shared" si="1"/>
        <v>1.804866610417134E-2</v>
      </c>
      <c r="J24" s="628"/>
      <c r="K24" s="629">
        <v>14.316342020333447</v>
      </c>
      <c r="L24" s="630">
        <v>19.466079261836335</v>
      </c>
      <c r="M24" s="630">
        <v>23.218467236227433</v>
      </c>
      <c r="N24" s="630">
        <v>20.748407596892445</v>
      </c>
      <c r="O24" s="631">
        <f t="shared" si="2"/>
        <v>0.96624846266131004</v>
      </c>
      <c r="P24" s="632">
        <f t="shared" si="3"/>
        <v>1.7439495876242852E-2</v>
      </c>
      <c r="Q24" s="113">
        <f t="shared" si="4"/>
        <v>1.6880023170260505E-2</v>
      </c>
      <c r="R24" s="633">
        <v>1.0462325686324412</v>
      </c>
      <c r="S24" s="630">
        <v>1.4050534441156883</v>
      </c>
      <c r="T24" s="630">
        <v>1.5050852081552479</v>
      </c>
      <c r="U24" s="630">
        <v>1.2621167950518506</v>
      </c>
      <c r="V24" s="631">
        <f t="shared" si="5"/>
        <v>0.91602143366124933</v>
      </c>
      <c r="W24" s="632">
        <f t="shared" si="6"/>
        <v>1.6532965000416226E-2</v>
      </c>
      <c r="X24" s="113">
        <f t="shared" si="7"/>
        <v>1.6023477245422749E-2</v>
      </c>
      <c r="Y24" s="633">
        <v>90.654407919074401</v>
      </c>
      <c r="Z24" s="630">
        <v>94.089194776382797</v>
      </c>
      <c r="AA24" s="630">
        <v>110.97560428152575</v>
      </c>
      <c r="AB24" s="630">
        <v>113.25195679741134</v>
      </c>
      <c r="AC24" s="631">
        <f t="shared" si="8"/>
        <v>1.0300295581458903</v>
      </c>
      <c r="AD24" s="632">
        <f t="shared" si="9"/>
        <v>1.7522473953718309E-2</v>
      </c>
      <c r="AE24" s="113">
        <f t="shared" si="10"/>
        <v>1.7548623871446137E-2</v>
      </c>
      <c r="AF24" s="633">
        <v>6.6249879976545323</v>
      </c>
      <c r="AG24" s="630">
        <v>6.7913186521237527</v>
      </c>
      <c r="AH24" s="630">
        <v>7.1937453394685633</v>
      </c>
      <c r="AI24" s="630">
        <v>6.8890682853130185</v>
      </c>
      <c r="AJ24" s="631">
        <f t="shared" si="11"/>
        <v>0.97398110528978188</v>
      </c>
      <c r="AK24" s="632">
        <f t="shared" si="12"/>
        <v>1.8530817493427085E-2</v>
      </c>
      <c r="AL24" s="113">
        <f t="shared" si="13"/>
        <v>1.855865530161957E-2</v>
      </c>
      <c r="AM24" s="633">
        <v>6.3322326185221254</v>
      </c>
      <c r="AN24" s="630">
        <v>4.833494896984555</v>
      </c>
      <c r="AO24" s="630">
        <v>4.779626628771263</v>
      </c>
      <c r="AP24" s="630">
        <v>5.4583445148037981</v>
      </c>
      <c r="AQ24" s="631">
        <f t="shared" si="14"/>
        <v>1.0742638725165357</v>
      </c>
      <c r="AR24" s="632">
        <f t="shared" si="15"/>
        <v>1.6800961631420332E-2</v>
      </c>
      <c r="AS24" s="115">
        <f t="shared" si="16"/>
        <v>1.690322651099364E-2</v>
      </c>
      <c r="AT24" s="628"/>
      <c r="AU24" s="635">
        <f t="shared" si="17"/>
        <v>3.3760046340521009E-3</v>
      </c>
      <c r="AV24" s="636">
        <f t="shared" si="18"/>
        <v>3.20469544908455E-3</v>
      </c>
      <c r="AW24" s="636">
        <f t="shared" si="19"/>
        <v>3.5097247742892274E-3</v>
      </c>
      <c r="AX24" s="636">
        <f t="shared" si="20"/>
        <v>3.7117310603239141E-3</v>
      </c>
      <c r="AY24" s="637">
        <f t="shared" si="21"/>
        <v>3.3806453021987281E-3</v>
      </c>
      <c r="AZ24" s="638">
        <f t="shared" si="41"/>
        <v>-4.7973898969891487E-2</v>
      </c>
      <c r="BA24" s="639">
        <f t="shared" si="22"/>
        <v>427756.22490096436</v>
      </c>
      <c r="BB24" s="640">
        <f t="shared" si="22"/>
        <v>406050.51706115407</v>
      </c>
      <c r="BC24" s="640">
        <f t="shared" si="22"/>
        <v>444699.21775237116</v>
      </c>
      <c r="BD24" s="640">
        <f t="shared" si="22"/>
        <v>470294.39776157262</v>
      </c>
      <c r="BE24" s="640">
        <f t="shared" si="22"/>
        <v>428344.22015055525</v>
      </c>
      <c r="BF24" s="641">
        <f t="shared" si="23"/>
        <v>2177144.5776266176</v>
      </c>
      <c r="BH24" s="642">
        <v>7769877</v>
      </c>
      <c r="BI24" s="643">
        <f t="shared" si="24"/>
        <v>0.2802032229888089</v>
      </c>
      <c r="BJ24" s="644">
        <f t="shared" si="25"/>
        <v>2177144.5776266176</v>
      </c>
      <c r="BK24" s="645">
        <f t="shared" si="26"/>
        <v>0</v>
      </c>
      <c r="BM24" s="646">
        <f t="shared" si="27"/>
        <v>2177144.5776266176</v>
      </c>
      <c r="BN24" s="647">
        <f t="shared" si="28"/>
        <v>1.8799438306087404E-2</v>
      </c>
      <c r="BO24" s="648">
        <f t="shared" si="29"/>
        <v>54049.91531458799</v>
      </c>
      <c r="BP24" s="648">
        <f t="shared" si="42"/>
        <v>2231194.4929412054</v>
      </c>
      <c r="BQ24" s="649">
        <f t="shared" si="43"/>
        <v>0.28715956416571398</v>
      </c>
      <c r="BR24" s="142">
        <f t="shared" si="30"/>
        <v>0</v>
      </c>
      <c r="BS24" s="548"/>
      <c r="BT24" s="650">
        <f t="shared" si="31"/>
        <v>7769877</v>
      </c>
      <c r="BU24" s="186">
        <f t="shared" si="44"/>
        <v>0.28715956416571398</v>
      </c>
      <c r="BV24" s="651">
        <f t="shared" si="32"/>
        <v>2231194.4929412054</v>
      </c>
      <c r="BW24" s="652">
        <f t="shared" si="33"/>
        <v>0</v>
      </c>
      <c r="BY24" s="646">
        <f t="shared" si="45"/>
        <v>2231194.4929412054</v>
      </c>
      <c r="BZ24" s="653">
        <f t="shared" si="34"/>
        <v>1.8799438306087404E-2</v>
      </c>
      <c r="CA24" s="654">
        <f t="shared" si="35"/>
        <v>0</v>
      </c>
      <c r="CB24" s="655">
        <f t="shared" si="46"/>
        <v>2231194.4929412054</v>
      </c>
      <c r="CC24" s="190">
        <f t="shared" si="47"/>
        <v>0.28715956416571398</v>
      </c>
      <c r="CD24" s="656">
        <f t="shared" si="36"/>
        <v>0</v>
      </c>
      <c r="CE24" s="657"/>
      <c r="CF24" s="658">
        <f t="shared" si="37"/>
        <v>2330963.1</v>
      </c>
      <c r="CG24" s="654">
        <f t="shared" si="38"/>
        <v>0</v>
      </c>
      <c r="CH24" s="659">
        <f t="shared" si="39"/>
        <v>2231194.4929412054</v>
      </c>
      <c r="CI24" s="660">
        <f t="shared" si="40"/>
        <v>0.28715956416571398</v>
      </c>
      <c r="CL24" s="661">
        <v>0</v>
      </c>
      <c r="CM24" s="662">
        <f t="shared" si="48"/>
        <v>2231194.4929412054</v>
      </c>
      <c r="CN24" s="663">
        <f t="shared" si="49"/>
        <v>0.28715956416571398</v>
      </c>
    </row>
    <row r="25" spans="1:92">
      <c r="A25" s="664" t="s">
        <v>223</v>
      </c>
      <c r="B25" s="626" t="s">
        <v>34</v>
      </c>
      <c r="C25" s="27"/>
      <c r="D25" s="627">
        <v>4067447</v>
      </c>
      <c r="E25" s="175">
        <v>259346</v>
      </c>
      <c r="F25" s="175">
        <v>34940</v>
      </c>
      <c r="G25" s="175">
        <v>565576</v>
      </c>
      <c r="H25" s="176">
        <f t="shared" si="0"/>
        <v>6.6447443354319367E-3</v>
      </c>
      <c r="I25" s="110">
        <f t="shared" si="1"/>
        <v>6.6447443354319376E-3</v>
      </c>
      <c r="J25" s="628"/>
      <c r="K25" s="665">
        <v>5.7639186016175321</v>
      </c>
      <c r="L25" s="666">
        <v>6.4797153630255435</v>
      </c>
      <c r="M25" s="666">
        <v>7.8693923906871097</v>
      </c>
      <c r="N25" s="666">
        <v>7.4226101888952494</v>
      </c>
      <c r="O25" s="631">
        <f t="shared" si="2"/>
        <v>0.92653452379767975</v>
      </c>
      <c r="P25" s="632">
        <f t="shared" si="3"/>
        <v>6.1565850285867606E-3</v>
      </c>
      <c r="Q25" s="113">
        <f t="shared" si="4"/>
        <v>5.9590769520920682E-3</v>
      </c>
      <c r="R25" s="667">
        <v>0.39323250859241093</v>
      </c>
      <c r="S25" s="666">
        <v>0.42963025620782347</v>
      </c>
      <c r="T25" s="666">
        <v>0.50038763229943484</v>
      </c>
      <c r="U25" s="666">
        <v>0.45855198947621539</v>
      </c>
      <c r="V25" s="631">
        <f t="shared" si="5"/>
        <v>0.89996760816377319</v>
      </c>
      <c r="W25" s="632">
        <f t="shared" si="6"/>
        <v>5.9800546664184615E-3</v>
      </c>
      <c r="X25" s="113">
        <f t="shared" si="7"/>
        <v>5.7957704423452164E-3</v>
      </c>
      <c r="Y25" s="668">
        <v>72.997808505087406</v>
      </c>
      <c r="Z25" s="669">
        <v>89.842457403679873</v>
      </c>
      <c r="AA25" s="669">
        <v>122.89167251227578</v>
      </c>
      <c r="AB25" s="669">
        <v>116.41233543216943</v>
      </c>
      <c r="AC25" s="631">
        <f t="shared" si="8"/>
        <v>1.1275204801752217</v>
      </c>
      <c r="AD25" s="632">
        <f t="shared" si="9"/>
        <v>5.8932360451663945E-3</v>
      </c>
      <c r="AE25" s="113">
        <f t="shared" si="10"/>
        <v>5.9020309013116399E-3</v>
      </c>
      <c r="AF25" s="668">
        <v>4.9801382261276927</v>
      </c>
      <c r="AG25" s="669">
        <v>5.9569033252504751</v>
      </c>
      <c r="AH25" s="669">
        <v>7.8142593461864411</v>
      </c>
      <c r="AI25" s="669">
        <v>7.1916895342093721</v>
      </c>
      <c r="AJ25" s="631">
        <f t="shared" si="11"/>
        <v>1.0962426841958166</v>
      </c>
      <c r="AK25" s="632">
        <f t="shared" si="12"/>
        <v>6.0613807792992474E-3</v>
      </c>
      <c r="AL25" s="113">
        <f t="shared" si="13"/>
        <v>6.0704864518134572E-3</v>
      </c>
      <c r="AM25" s="668">
        <v>12.664614743969837</v>
      </c>
      <c r="AN25" s="669">
        <v>13.865185794477576</v>
      </c>
      <c r="AO25" s="669">
        <v>15.616411841111102</v>
      </c>
      <c r="AP25" s="669">
        <v>15.683476899585882</v>
      </c>
      <c r="AQ25" s="634">
        <f t="shared" si="14"/>
        <v>1.21686915565862</v>
      </c>
      <c r="AR25" s="632">
        <f t="shared" si="15"/>
        <v>5.4605249089706171E-3</v>
      </c>
      <c r="AS25" s="115">
        <f t="shared" si="16"/>
        <v>5.4937622875489119E-3</v>
      </c>
      <c r="AT25" s="628"/>
      <c r="AU25" s="635">
        <f t="shared" si="17"/>
        <v>1.1918153904184137E-3</v>
      </c>
      <c r="AV25" s="636">
        <f t="shared" si="18"/>
        <v>1.1591540884690434E-3</v>
      </c>
      <c r="AW25" s="636">
        <f t="shared" si="19"/>
        <v>1.180406180262328E-3</v>
      </c>
      <c r="AX25" s="636">
        <f t="shared" si="20"/>
        <v>1.2140972903626915E-3</v>
      </c>
      <c r="AY25" s="637">
        <f t="shared" si="21"/>
        <v>1.0987524575097824E-3</v>
      </c>
      <c r="AZ25" s="638">
        <f t="shared" si="41"/>
        <v>-0.12047399990110257</v>
      </c>
      <c r="BA25" s="639">
        <f t="shared" si="22"/>
        <v>151008.81291514897</v>
      </c>
      <c r="BB25" s="640">
        <f t="shared" si="22"/>
        <v>146870.46693028454</v>
      </c>
      <c r="BC25" s="640">
        <f t="shared" si="22"/>
        <v>149563.21043692867</v>
      </c>
      <c r="BD25" s="640">
        <f t="shared" si="22"/>
        <v>153832.0381286598</v>
      </c>
      <c r="BE25" s="640">
        <f t="shared" si="22"/>
        <v>139217.28619220504</v>
      </c>
      <c r="BF25" s="641">
        <f t="shared" si="23"/>
        <v>740491.81460322707</v>
      </c>
      <c r="BH25" s="642">
        <v>4067447</v>
      </c>
      <c r="BI25" s="643">
        <f t="shared" si="24"/>
        <v>0.18205321780547529</v>
      </c>
      <c r="BJ25" s="644">
        <f t="shared" si="25"/>
        <v>740491.81460322707</v>
      </c>
      <c r="BK25" s="645">
        <f t="shared" si="26"/>
        <v>0</v>
      </c>
      <c r="BM25" s="646">
        <f t="shared" si="27"/>
        <v>740491.81460322707</v>
      </c>
      <c r="BN25" s="647">
        <f t="shared" si="28"/>
        <v>6.3940770529680073E-3</v>
      </c>
      <c r="BO25" s="648">
        <f t="shared" si="29"/>
        <v>18383.491974649234</v>
      </c>
      <c r="BP25" s="648">
        <f t="shared" si="42"/>
        <v>758875.30657787633</v>
      </c>
      <c r="BQ25" s="649">
        <f t="shared" si="43"/>
        <v>0.18657288136216066</v>
      </c>
      <c r="BR25" s="142">
        <f t="shared" si="30"/>
        <v>0</v>
      </c>
      <c r="BS25" s="548"/>
      <c r="BT25" s="650">
        <f t="shared" si="31"/>
        <v>4067447</v>
      </c>
      <c r="BU25" s="186">
        <f t="shared" si="44"/>
        <v>0.18657288136216066</v>
      </c>
      <c r="BV25" s="651">
        <f t="shared" si="32"/>
        <v>758875.30657787633</v>
      </c>
      <c r="BW25" s="652">
        <f t="shared" si="33"/>
        <v>0</v>
      </c>
      <c r="BY25" s="646">
        <f t="shared" si="45"/>
        <v>758875.30657787633</v>
      </c>
      <c r="BZ25" s="653">
        <f t="shared" si="34"/>
        <v>6.3940770529680073E-3</v>
      </c>
      <c r="CA25" s="654">
        <f t="shared" si="35"/>
        <v>0</v>
      </c>
      <c r="CB25" s="655">
        <f t="shared" si="46"/>
        <v>758875.30657787633</v>
      </c>
      <c r="CC25" s="190">
        <f t="shared" si="47"/>
        <v>0.18657288136216066</v>
      </c>
      <c r="CD25" s="656">
        <f t="shared" si="36"/>
        <v>0</v>
      </c>
      <c r="CE25" s="657"/>
      <c r="CF25" s="658">
        <f t="shared" si="37"/>
        <v>1220234.0999999999</v>
      </c>
      <c r="CG25" s="654">
        <f t="shared" si="38"/>
        <v>0</v>
      </c>
      <c r="CH25" s="659">
        <f t="shared" si="39"/>
        <v>758875.30657787633</v>
      </c>
      <c r="CI25" s="660">
        <f t="shared" si="40"/>
        <v>0.18657288136216066</v>
      </c>
      <c r="CL25" s="661">
        <v>0</v>
      </c>
      <c r="CM25" s="662">
        <f t="shared" si="48"/>
        <v>758875.30657787633</v>
      </c>
      <c r="CN25" s="663">
        <f t="shared" si="49"/>
        <v>0.18657288136216066</v>
      </c>
    </row>
    <row r="26" spans="1:92">
      <c r="A26" s="664" t="s">
        <v>223</v>
      </c>
      <c r="B26" s="626" t="s">
        <v>36</v>
      </c>
      <c r="C26" s="27"/>
      <c r="D26" s="627">
        <v>698366</v>
      </c>
      <c r="E26" s="175">
        <v>96178</v>
      </c>
      <c r="F26" s="175">
        <v>11193</v>
      </c>
      <c r="G26" s="175">
        <v>168612</v>
      </c>
      <c r="H26" s="176">
        <f t="shared" si="0"/>
        <v>1.6519623847421562E-3</v>
      </c>
      <c r="I26" s="110">
        <f t="shared" si="1"/>
        <v>1.6519623847421564E-3</v>
      </c>
      <c r="J26" s="628"/>
      <c r="K26" s="629">
        <v>6.5520235467255334</v>
      </c>
      <c r="L26" s="630">
        <v>6.5625580805947452</v>
      </c>
      <c r="M26" s="630">
        <v>7.7980103806228378</v>
      </c>
      <c r="N26" s="630">
        <v>8.5926918609845444</v>
      </c>
      <c r="O26" s="631">
        <f t="shared" si="2"/>
        <v>0.93668954813722882</v>
      </c>
      <c r="P26" s="632">
        <f t="shared" si="3"/>
        <v>1.5473758997038294E-3</v>
      </c>
      <c r="Q26" s="113">
        <f t="shared" si="4"/>
        <v>1.4977348671921902E-3</v>
      </c>
      <c r="R26" s="633">
        <v>0.47317713453679738</v>
      </c>
      <c r="S26" s="630">
        <v>0.44629120011030743</v>
      </c>
      <c r="T26" s="630">
        <v>0.52648024202497345</v>
      </c>
      <c r="U26" s="630">
        <v>0.57041017246696557</v>
      </c>
      <c r="V26" s="631">
        <f t="shared" si="5"/>
        <v>0.91643691347378609</v>
      </c>
      <c r="W26" s="632">
        <f t="shared" si="6"/>
        <v>1.5139193090478969E-3</v>
      </c>
      <c r="X26" s="113">
        <f t="shared" si="7"/>
        <v>1.4672656477119736E-3</v>
      </c>
      <c r="Y26" s="633">
        <v>45.519278881530539</v>
      </c>
      <c r="Z26" s="630">
        <v>51.194390470558417</v>
      </c>
      <c r="AA26" s="630">
        <v>60.816435986159171</v>
      </c>
      <c r="AB26" s="630">
        <v>62.393102832127219</v>
      </c>
      <c r="AC26" s="631">
        <f t="shared" si="8"/>
        <v>1.0630086809606323</v>
      </c>
      <c r="AD26" s="632">
        <f t="shared" si="9"/>
        <v>1.5540441149072192E-3</v>
      </c>
      <c r="AE26" s="113">
        <f t="shared" si="10"/>
        <v>1.5563633151444445E-3</v>
      </c>
      <c r="AF26" s="633">
        <v>3.2873328054671349</v>
      </c>
      <c r="AG26" s="630">
        <v>3.4815091434513583</v>
      </c>
      <c r="AH26" s="630">
        <v>4.1060027332936189</v>
      </c>
      <c r="AI26" s="630">
        <v>4.1418522999549259</v>
      </c>
      <c r="AJ26" s="631">
        <f t="shared" si="11"/>
        <v>1.0382731642613201</v>
      </c>
      <c r="AK26" s="632">
        <f t="shared" si="12"/>
        <v>1.5910672081344275E-3</v>
      </c>
      <c r="AL26" s="113">
        <f t="shared" si="13"/>
        <v>1.5934573791982301E-3</v>
      </c>
      <c r="AM26" s="633">
        <v>6.9473619190943596</v>
      </c>
      <c r="AN26" s="630">
        <v>7.8009809348489334</v>
      </c>
      <c r="AO26" s="630">
        <v>7.7989683288035945</v>
      </c>
      <c r="AP26" s="630">
        <v>7.261182390983385</v>
      </c>
      <c r="AQ26" s="634">
        <f t="shared" si="14"/>
        <v>1.1577327465899605</v>
      </c>
      <c r="AR26" s="632">
        <f t="shared" si="15"/>
        <v>1.4268944103100847E-3</v>
      </c>
      <c r="AS26" s="115">
        <f t="shared" si="16"/>
        <v>1.4355796979879812E-3</v>
      </c>
      <c r="AT26" s="628"/>
      <c r="AU26" s="635">
        <f t="shared" si="17"/>
        <v>2.9954697343843807E-4</v>
      </c>
      <c r="AV26" s="636">
        <f t="shared" si="18"/>
        <v>2.9345312954239477E-4</v>
      </c>
      <c r="AW26" s="636">
        <f t="shared" si="19"/>
        <v>3.1127266302888892E-4</v>
      </c>
      <c r="AX26" s="636">
        <f t="shared" si="20"/>
        <v>3.1869147583964602E-4</v>
      </c>
      <c r="AY26" s="637">
        <f t="shared" si="21"/>
        <v>2.8711593959759624E-4</v>
      </c>
      <c r="AZ26" s="638">
        <f t="shared" si="41"/>
        <v>-8.5887066561347772E-2</v>
      </c>
      <c r="BA26" s="639">
        <f t="shared" si="22"/>
        <v>37954.060028863772</v>
      </c>
      <c r="BB26" s="640">
        <f t="shared" si="22"/>
        <v>37181.940336309162</v>
      </c>
      <c r="BC26" s="640">
        <f t="shared" si="22"/>
        <v>39439.761992356514</v>
      </c>
      <c r="BD26" s="640">
        <f t="shared" si="22"/>
        <v>40379.761697679016</v>
      </c>
      <c r="BE26" s="640">
        <f t="shared" si="22"/>
        <v>36378.987514525346</v>
      </c>
      <c r="BF26" s="641">
        <f t="shared" si="23"/>
        <v>191334.51156973385</v>
      </c>
      <c r="BH26" s="642">
        <v>698366</v>
      </c>
      <c r="BI26" s="643">
        <f t="shared" si="24"/>
        <v>0.27397455140962451</v>
      </c>
      <c r="BJ26" s="644">
        <f t="shared" si="25"/>
        <v>191334.51156973385</v>
      </c>
      <c r="BK26" s="645">
        <f t="shared" si="26"/>
        <v>0</v>
      </c>
      <c r="BM26" s="646">
        <f t="shared" si="27"/>
        <v>191334.51156973385</v>
      </c>
      <c r="BN26" s="647">
        <f t="shared" si="28"/>
        <v>1.6521554806441816E-3</v>
      </c>
      <c r="BO26" s="648">
        <f t="shared" si="29"/>
        <v>4750.0814844257748</v>
      </c>
      <c r="BP26" s="648">
        <f t="shared" si="42"/>
        <v>196084.59305415963</v>
      </c>
      <c r="BQ26" s="649">
        <f t="shared" si="43"/>
        <v>0.2807762592310617</v>
      </c>
      <c r="BR26" s="142">
        <f t="shared" si="30"/>
        <v>0</v>
      </c>
      <c r="BS26" s="548"/>
      <c r="BT26" s="650">
        <f t="shared" si="31"/>
        <v>698366</v>
      </c>
      <c r="BU26" s="186">
        <f t="shared" si="44"/>
        <v>0.2807762592310617</v>
      </c>
      <c r="BV26" s="651">
        <f t="shared" si="32"/>
        <v>196084.59305415963</v>
      </c>
      <c r="BW26" s="652">
        <f t="shared" si="33"/>
        <v>0</v>
      </c>
      <c r="BY26" s="646">
        <f t="shared" si="45"/>
        <v>196084.59305415963</v>
      </c>
      <c r="BZ26" s="653">
        <f t="shared" si="34"/>
        <v>1.6521554806441818E-3</v>
      </c>
      <c r="CA26" s="654">
        <f t="shared" si="35"/>
        <v>0</v>
      </c>
      <c r="CB26" s="655">
        <f t="shared" si="46"/>
        <v>196084.59305415963</v>
      </c>
      <c r="CC26" s="190">
        <f t="shared" si="47"/>
        <v>0.2807762592310617</v>
      </c>
      <c r="CD26" s="656">
        <f t="shared" si="36"/>
        <v>0</v>
      </c>
      <c r="CE26" s="657"/>
      <c r="CF26" s="658">
        <f t="shared" si="37"/>
        <v>209509.8</v>
      </c>
      <c r="CG26" s="654">
        <f t="shared" si="38"/>
        <v>0</v>
      </c>
      <c r="CH26" s="659">
        <f t="shared" si="39"/>
        <v>196084.59305415963</v>
      </c>
      <c r="CI26" s="660">
        <f t="shared" si="40"/>
        <v>0.2807762592310617</v>
      </c>
      <c r="CL26" s="661">
        <v>0</v>
      </c>
      <c r="CM26" s="662">
        <f t="shared" si="48"/>
        <v>196084.59305415963</v>
      </c>
      <c r="CN26" s="663">
        <f t="shared" si="49"/>
        <v>0.2807762592310617</v>
      </c>
    </row>
    <row r="27" spans="1:92">
      <c r="A27" s="664" t="s">
        <v>223</v>
      </c>
      <c r="B27" s="626" t="s">
        <v>38</v>
      </c>
      <c r="C27" s="27"/>
      <c r="D27" s="627">
        <v>8378754</v>
      </c>
      <c r="E27" s="175">
        <v>585649</v>
      </c>
      <c r="F27" s="175">
        <v>80007.260000000009</v>
      </c>
      <c r="G27" s="175">
        <v>1157573.97</v>
      </c>
      <c r="H27" s="176">
        <f t="shared" si="0"/>
        <v>1.4138558077438551E-2</v>
      </c>
      <c r="I27" s="110">
        <f t="shared" si="1"/>
        <v>1.4138558077438553E-2</v>
      </c>
      <c r="J27" s="628"/>
      <c r="K27" s="629">
        <v>6.2106387495687709</v>
      </c>
      <c r="L27" s="630">
        <v>5.9993407953505891</v>
      </c>
      <c r="M27" s="630">
        <v>6.5244789507405869</v>
      </c>
      <c r="N27" s="630">
        <v>7.3199482146995152</v>
      </c>
      <c r="O27" s="631">
        <f t="shared" si="2"/>
        <v>0.90539464268492109</v>
      </c>
      <c r="P27" s="632">
        <f t="shared" si="3"/>
        <v>1.2800974738602483E-2</v>
      </c>
      <c r="Q27" s="113">
        <f t="shared" si="4"/>
        <v>1.2390309428834335E-2</v>
      </c>
      <c r="R27" s="633">
        <v>0.43710720015539234</v>
      </c>
      <c r="S27" s="630">
        <v>0.41539215330115964</v>
      </c>
      <c r="T27" s="630">
        <v>0.45126387982562621</v>
      </c>
      <c r="U27" s="630">
        <v>0.50592792787142582</v>
      </c>
      <c r="V27" s="631">
        <f t="shared" si="5"/>
        <v>0.90393113365152045</v>
      </c>
      <c r="W27" s="632">
        <f t="shared" si="6"/>
        <v>1.2780282831136892E-2</v>
      </c>
      <c r="X27" s="113">
        <f t="shared" si="7"/>
        <v>1.2386439524285781E-2</v>
      </c>
      <c r="Y27" s="633">
        <v>88.890998593530242</v>
      </c>
      <c r="Z27" s="630">
        <v>103.53699617930367</v>
      </c>
      <c r="AA27" s="630">
        <v>108.98527619693715</v>
      </c>
      <c r="AB27" s="630">
        <v>112.5272881486005</v>
      </c>
      <c r="AC27" s="631">
        <f t="shared" si="8"/>
        <v>1.0371555930389649</v>
      </c>
      <c r="AD27" s="632">
        <f t="shared" si="9"/>
        <v>1.3632051133245329E-2</v>
      </c>
      <c r="AE27" s="113">
        <f t="shared" si="10"/>
        <v>1.3652395122144239E-2</v>
      </c>
      <c r="AF27" s="633">
        <v>6.2561834749980854</v>
      </c>
      <c r="AG27" s="630">
        <v>7.168863589577354</v>
      </c>
      <c r="AH27" s="630">
        <v>7.537938117635405</v>
      </c>
      <c r="AI27" s="630">
        <v>7.7774727432753172</v>
      </c>
      <c r="AJ27" s="631">
        <f t="shared" si="11"/>
        <v>1.0360687752653082</v>
      </c>
      <c r="AK27" s="632">
        <f t="shared" si="12"/>
        <v>1.3646350913160243E-2</v>
      </c>
      <c r="AL27" s="113">
        <f t="shared" si="13"/>
        <v>1.366685106105618E-2</v>
      </c>
      <c r="AM27" s="633">
        <v>14.312698287225656</v>
      </c>
      <c r="AN27" s="630">
        <v>17.258062129016487</v>
      </c>
      <c r="AO27" s="630">
        <v>16.704058212122263</v>
      </c>
      <c r="AP27" s="630">
        <v>15.372689102175535</v>
      </c>
      <c r="AQ27" s="631">
        <f t="shared" si="14"/>
        <v>1.1776106082937341</v>
      </c>
      <c r="AR27" s="632">
        <f t="shared" si="15"/>
        <v>1.2006140211257284E-2</v>
      </c>
      <c r="AS27" s="115">
        <f t="shared" si="16"/>
        <v>1.207921974740409E-2</v>
      </c>
      <c r="AT27" s="628"/>
      <c r="AU27" s="635">
        <f t="shared" si="17"/>
        <v>2.4780618857668671E-3</v>
      </c>
      <c r="AV27" s="636">
        <f t="shared" si="18"/>
        <v>2.4772879048571561E-3</v>
      </c>
      <c r="AW27" s="636">
        <f t="shared" si="19"/>
        <v>2.7304790244288479E-3</v>
      </c>
      <c r="AX27" s="636">
        <f t="shared" si="20"/>
        <v>2.7333702122112362E-3</v>
      </c>
      <c r="AY27" s="637">
        <f t="shared" si="21"/>
        <v>2.4158439494808182E-3</v>
      </c>
      <c r="AZ27" s="638">
        <f t="shared" si="41"/>
        <v>-9.2195759536023464E-2</v>
      </c>
      <c r="BA27" s="639">
        <f t="shared" si="22"/>
        <v>313982.50660998386</v>
      </c>
      <c r="BB27" s="640">
        <f t="shared" si="22"/>
        <v>313884.43946021044</v>
      </c>
      <c r="BC27" s="640">
        <f t="shared" si="22"/>
        <v>345964.98709750496</v>
      </c>
      <c r="BD27" s="640">
        <f t="shared" si="22"/>
        <v>346331.31466672686</v>
      </c>
      <c r="BE27" s="640">
        <f t="shared" si="22"/>
        <v>306099.1911434097</v>
      </c>
      <c r="BF27" s="641">
        <f t="shared" si="23"/>
        <v>1626262.4389778357</v>
      </c>
      <c r="BH27" s="642">
        <v>9003000</v>
      </c>
      <c r="BI27" s="643">
        <f t="shared" si="24"/>
        <v>0.18063561468153236</v>
      </c>
      <c r="BJ27" s="644">
        <f t="shared" si="25"/>
        <v>1626262.4389778357</v>
      </c>
      <c r="BK27" s="645">
        <f t="shared" si="26"/>
        <v>0</v>
      </c>
      <c r="BM27" s="646">
        <f t="shared" si="27"/>
        <v>1626262.4389778357</v>
      </c>
      <c r="BN27" s="647">
        <f t="shared" si="28"/>
        <v>1.4042622940732568E-2</v>
      </c>
      <c r="BO27" s="648">
        <f t="shared" si="29"/>
        <v>40373.683957116686</v>
      </c>
      <c r="BP27" s="648">
        <f t="shared" si="42"/>
        <v>1666636.1229349524</v>
      </c>
      <c r="BQ27" s="649">
        <f t="shared" si="43"/>
        <v>0.18512008474230282</v>
      </c>
      <c r="BR27" s="142">
        <f t="shared" si="30"/>
        <v>0</v>
      </c>
      <c r="BS27" s="548"/>
      <c r="BT27" s="650">
        <f t="shared" si="31"/>
        <v>9003000</v>
      </c>
      <c r="BU27" s="186">
        <f t="shared" si="44"/>
        <v>0.18512008474230282</v>
      </c>
      <c r="BV27" s="651">
        <f t="shared" si="32"/>
        <v>1666636.1229349524</v>
      </c>
      <c r="BW27" s="652">
        <f t="shared" si="33"/>
        <v>0</v>
      </c>
      <c r="BY27" s="646">
        <f t="shared" si="45"/>
        <v>1666636.1229349524</v>
      </c>
      <c r="BZ27" s="653">
        <f t="shared" si="34"/>
        <v>1.4042622940732566E-2</v>
      </c>
      <c r="CA27" s="654">
        <f t="shared" si="35"/>
        <v>0</v>
      </c>
      <c r="CB27" s="655">
        <f t="shared" si="46"/>
        <v>1666636.1229349524</v>
      </c>
      <c r="CC27" s="190">
        <f t="shared" si="47"/>
        <v>0.18512008474230282</v>
      </c>
      <c r="CD27" s="656">
        <f t="shared" si="36"/>
        <v>0</v>
      </c>
      <c r="CE27" s="657"/>
      <c r="CF27" s="658">
        <f t="shared" si="37"/>
        <v>2700900</v>
      </c>
      <c r="CG27" s="654">
        <f t="shared" si="38"/>
        <v>0</v>
      </c>
      <c r="CH27" s="659">
        <f t="shared" si="39"/>
        <v>1666636.1229349524</v>
      </c>
      <c r="CI27" s="660">
        <f t="shared" si="40"/>
        <v>0.18512008474230282</v>
      </c>
      <c r="CL27" s="661">
        <v>0</v>
      </c>
      <c r="CM27" s="662">
        <f t="shared" si="48"/>
        <v>1666636.1229349524</v>
      </c>
      <c r="CN27" s="663">
        <f t="shared" si="49"/>
        <v>0.18512008474230282</v>
      </c>
    </row>
    <row r="28" spans="1:92">
      <c r="A28" s="664" t="s">
        <v>223</v>
      </c>
      <c r="B28" s="626" t="s">
        <v>54</v>
      </c>
      <c r="C28" s="27"/>
      <c r="D28" s="627">
        <v>165710</v>
      </c>
      <c r="E28" s="175">
        <v>15318</v>
      </c>
      <c r="F28" s="175">
        <v>3004</v>
      </c>
      <c r="G28" s="175">
        <v>50699</v>
      </c>
      <c r="H28" s="191">
        <f t="shared" si="0"/>
        <v>3.7321493182231356E-4</v>
      </c>
      <c r="I28" s="110">
        <f t="shared" si="1"/>
        <v>3.7321493182231361E-4</v>
      </c>
      <c r="J28" s="628"/>
      <c r="K28" s="665">
        <v>4.686815011624045</v>
      </c>
      <c r="L28" s="666">
        <v>4.8892540256325994</v>
      </c>
      <c r="M28" s="630">
        <v>4.7219286657859971</v>
      </c>
      <c r="N28" s="630">
        <v>5.099201065246338</v>
      </c>
      <c r="O28" s="631">
        <f t="shared" si="2"/>
        <v>0.87823638966897821</v>
      </c>
      <c r="P28" s="632">
        <f t="shared" si="3"/>
        <v>3.2777093429418256E-4</v>
      </c>
      <c r="Q28" s="113">
        <f t="shared" si="4"/>
        <v>3.1725578564233776E-4</v>
      </c>
      <c r="R28" s="667">
        <v>0.28707433174661295</v>
      </c>
      <c r="S28" s="630">
        <v>0.30552817479875144</v>
      </c>
      <c r="T28" s="630">
        <v>0.29334044561158756</v>
      </c>
      <c r="U28" s="630">
        <v>0.30213613680743212</v>
      </c>
      <c r="V28" s="631">
        <f t="shared" si="5"/>
        <v>0.87051960662416128</v>
      </c>
      <c r="W28" s="632">
        <f t="shared" si="6"/>
        <v>3.2489091563622362E-4</v>
      </c>
      <c r="X28" s="113">
        <f t="shared" si="7"/>
        <v>3.1487892182742357E-4</v>
      </c>
      <c r="Y28" s="668">
        <v>38.42344735968117</v>
      </c>
      <c r="Z28" s="669">
        <v>35.43739730529083</v>
      </c>
      <c r="AA28" s="669">
        <v>58.537318361955087</v>
      </c>
      <c r="AB28" s="669">
        <v>55.163115845539281</v>
      </c>
      <c r="AC28" s="631">
        <f t="shared" si="8"/>
        <v>1.1105520609683832</v>
      </c>
      <c r="AD28" s="632">
        <f t="shared" si="9"/>
        <v>3.3606252686332986E-4</v>
      </c>
      <c r="AE28" s="113">
        <f t="shared" si="10"/>
        <v>3.3656405464143317E-4</v>
      </c>
      <c r="AF28" s="668">
        <v>2.3534928190731925</v>
      </c>
      <c r="AG28" s="669">
        <v>2.2144734680466569</v>
      </c>
      <c r="AH28" s="669">
        <v>3.6365147101062738</v>
      </c>
      <c r="AI28" s="669">
        <v>3.2685062821751907</v>
      </c>
      <c r="AJ28" s="631">
        <f t="shared" si="11"/>
        <v>1.1037169090605909</v>
      </c>
      <c r="AK28" s="632">
        <f t="shared" si="12"/>
        <v>3.3814371127100781E-4</v>
      </c>
      <c r="AL28" s="113">
        <f t="shared" si="13"/>
        <v>3.3865168561046671E-4</v>
      </c>
      <c r="AM28" s="668">
        <v>8.1982001133786842</v>
      </c>
      <c r="AN28" s="669">
        <v>7.2480172066137918</v>
      </c>
      <c r="AO28" s="669">
        <v>12.396908658553643</v>
      </c>
      <c r="AP28" s="669">
        <v>10.817991904948427</v>
      </c>
      <c r="AQ28" s="634">
        <f t="shared" si="14"/>
        <v>1.2936229881858146</v>
      </c>
      <c r="AR28" s="632">
        <f t="shared" si="15"/>
        <v>2.8850363299875548E-4</v>
      </c>
      <c r="AS28" s="115">
        <f t="shared" si="16"/>
        <v>2.9025971041458048E-4</v>
      </c>
      <c r="AT28" s="628"/>
      <c r="AU28" s="635">
        <f t="shared" si="17"/>
        <v>6.3451157128467558E-5</v>
      </c>
      <c r="AV28" s="636">
        <f t="shared" si="18"/>
        <v>6.2975784365484712E-5</v>
      </c>
      <c r="AW28" s="636">
        <f t="shared" si="19"/>
        <v>6.7312810928286634E-5</v>
      </c>
      <c r="AX28" s="636">
        <f t="shared" si="20"/>
        <v>6.7730337122093347E-5</v>
      </c>
      <c r="AY28" s="637">
        <f t="shared" si="21"/>
        <v>5.8051942082916096E-5</v>
      </c>
      <c r="AZ28" s="638">
        <f t="shared" si="41"/>
        <v>-0.14386589500290492</v>
      </c>
      <c r="BA28" s="639">
        <f t="shared" si="22"/>
        <v>8039.5705518608984</v>
      </c>
      <c r="BB28" s="640">
        <f t="shared" si="22"/>
        <v>7979.3385082009881</v>
      </c>
      <c r="BC28" s="640">
        <f t="shared" si="22"/>
        <v>8528.8608906903264</v>
      </c>
      <c r="BD28" s="640">
        <f t="shared" si="22"/>
        <v>8581.7634923806745</v>
      </c>
      <c r="BE28" s="640">
        <f t="shared" si="22"/>
        <v>7355.4637168114714</v>
      </c>
      <c r="BF28" s="641">
        <f t="shared" si="23"/>
        <v>40484.99715994436</v>
      </c>
      <c r="BH28" s="642">
        <v>165710</v>
      </c>
      <c r="BI28" s="643">
        <f t="shared" si="24"/>
        <v>0.24431233576696856</v>
      </c>
      <c r="BJ28" s="644">
        <f t="shared" si="25"/>
        <v>40484.99715994436</v>
      </c>
      <c r="BK28" s="645">
        <f t="shared" si="26"/>
        <v>0</v>
      </c>
      <c r="BM28" s="646">
        <f t="shared" si="27"/>
        <v>40484.99715994436</v>
      </c>
      <c r="BN28" s="647">
        <f t="shared" si="28"/>
        <v>3.4958413614413915E-4</v>
      </c>
      <c r="BO28" s="648">
        <f t="shared" si="29"/>
        <v>1005.0828458952295</v>
      </c>
      <c r="BP28" s="648">
        <f t="shared" si="42"/>
        <v>41490.080005839591</v>
      </c>
      <c r="BQ28" s="649">
        <f t="shared" si="43"/>
        <v>0.25037764773302512</v>
      </c>
      <c r="BR28" s="142">
        <f t="shared" si="30"/>
        <v>0</v>
      </c>
      <c r="BS28" s="548"/>
      <c r="BT28" s="650">
        <f t="shared" si="31"/>
        <v>165710</v>
      </c>
      <c r="BU28" s="186">
        <f t="shared" si="44"/>
        <v>0.25037764773302512</v>
      </c>
      <c r="BV28" s="651">
        <f t="shared" si="32"/>
        <v>41490.080005839591</v>
      </c>
      <c r="BW28" s="652">
        <f t="shared" si="33"/>
        <v>0</v>
      </c>
      <c r="BY28" s="646">
        <f t="shared" si="45"/>
        <v>41490.080005839591</v>
      </c>
      <c r="BZ28" s="653">
        <f t="shared" si="34"/>
        <v>3.4958413614413915E-4</v>
      </c>
      <c r="CA28" s="654">
        <f t="shared" si="35"/>
        <v>0</v>
      </c>
      <c r="CB28" s="655">
        <f t="shared" si="46"/>
        <v>41490.080005839591</v>
      </c>
      <c r="CC28" s="190">
        <f t="shared" si="47"/>
        <v>0.25037764773302512</v>
      </c>
      <c r="CD28" s="656">
        <f t="shared" si="36"/>
        <v>0</v>
      </c>
      <c r="CE28" s="657"/>
      <c r="CF28" s="658">
        <f t="shared" si="37"/>
        <v>49713</v>
      </c>
      <c r="CG28" s="654">
        <f t="shared" si="38"/>
        <v>0</v>
      </c>
      <c r="CH28" s="659">
        <f t="shared" si="39"/>
        <v>41490.080005839591</v>
      </c>
      <c r="CI28" s="660">
        <f t="shared" si="40"/>
        <v>0.25037764773302512</v>
      </c>
      <c r="CL28" s="661">
        <v>0</v>
      </c>
      <c r="CM28" s="662">
        <f t="shared" si="48"/>
        <v>41490.080005839591</v>
      </c>
      <c r="CN28" s="663">
        <f t="shared" si="49"/>
        <v>0.25037764773302512</v>
      </c>
    </row>
    <row r="29" spans="1:92">
      <c r="A29" s="664" t="s">
        <v>224</v>
      </c>
      <c r="B29" s="868" t="s">
        <v>33</v>
      </c>
      <c r="C29" s="27"/>
      <c r="D29" s="627">
        <v>25291520</v>
      </c>
      <c r="E29" s="175">
        <v>690827</v>
      </c>
      <c r="F29" s="175">
        <v>172995.92</v>
      </c>
      <c r="G29" s="175">
        <v>3894172</v>
      </c>
      <c r="H29" s="191">
        <f t="shared" si="0"/>
        <v>3.5735198251008793E-2</v>
      </c>
      <c r="I29" s="110">
        <f t="shared" si="1"/>
        <v>3.57351982510088E-2</v>
      </c>
      <c r="J29" s="628"/>
      <c r="K29" s="629">
        <v>3.470492023892092</v>
      </c>
      <c r="L29" s="630">
        <v>4.2679119210326499</v>
      </c>
      <c r="M29" s="630">
        <v>4.451152820443574</v>
      </c>
      <c r="N29" s="630">
        <v>3.9933138307539271</v>
      </c>
      <c r="O29" s="631">
        <f t="shared" si="2"/>
        <v>0.89152476012892912</v>
      </c>
      <c r="P29" s="632">
        <f t="shared" si="3"/>
        <v>3.1858814048890349E-2</v>
      </c>
      <c r="Q29" s="113">
        <f t="shared" si="4"/>
        <v>3.0836758306464776E-2</v>
      </c>
      <c r="R29" s="633">
        <v>0.16305901321605187</v>
      </c>
      <c r="S29" s="630">
        <v>0.18749795684455406</v>
      </c>
      <c r="T29" s="630">
        <v>0.20352598918826306</v>
      </c>
      <c r="U29" s="630">
        <v>0.17740022782763576</v>
      </c>
      <c r="V29" s="631">
        <f t="shared" si="5"/>
        <v>0.87910488190980651</v>
      </c>
      <c r="W29" s="632">
        <f t="shared" si="6"/>
        <v>3.1414987238476612E-2</v>
      </c>
      <c r="X29" s="113">
        <f t="shared" si="7"/>
        <v>3.0446887970082995E-2</v>
      </c>
      <c r="Y29" s="633">
        <v>179.69728056645377</v>
      </c>
      <c r="Z29" s="630">
        <v>158.41301948873704</v>
      </c>
      <c r="AA29" s="630">
        <v>159.2898254734497</v>
      </c>
      <c r="AB29" s="630">
        <v>146.19720511327665</v>
      </c>
      <c r="AC29" s="631">
        <f t="shared" si="8"/>
        <v>0.89241794556285381</v>
      </c>
      <c r="AD29" s="632">
        <f t="shared" si="9"/>
        <v>4.004311929033473E-2</v>
      </c>
      <c r="AE29" s="113">
        <f t="shared" si="10"/>
        <v>4.0102878219226479E-2</v>
      </c>
      <c r="AF29" s="633">
        <v>8.4429703468712045</v>
      </c>
      <c r="AG29" s="630">
        <v>6.9594026402794391</v>
      </c>
      <c r="AH29" s="630">
        <v>7.2834208585718461</v>
      </c>
      <c r="AI29" s="630">
        <v>6.4947105572121622</v>
      </c>
      <c r="AJ29" s="631">
        <f t="shared" si="11"/>
        <v>0.88136384841768123</v>
      </c>
      <c r="AK29" s="632">
        <f t="shared" si="12"/>
        <v>4.0545341535353933E-2</v>
      </c>
      <c r="AL29" s="113">
        <f t="shared" si="13"/>
        <v>4.0606250528773154E-2</v>
      </c>
      <c r="AM29" s="633">
        <v>51.778617939287642</v>
      </c>
      <c r="AN29" s="630">
        <v>37.117218541475417</v>
      </c>
      <c r="AO29" s="630">
        <v>35.786195599003463</v>
      </c>
      <c r="AP29" s="630">
        <v>36.610497273557634</v>
      </c>
      <c r="AQ29" s="631">
        <f t="shared" si="14"/>
        <v>1.0046673128501329</v>
      </c>
      <c r="AR29" s="632">
        <f t="shared" si="15"/>
        <v>3.556918573336669E-2</v>
      </c>
      <c r="AS29" s="115">
        <f t="shared" si="16"/>
        <v>3.5785689917790318E-2</v>
      </c>
      <c r="AT29" s="628"/>
      <c r="AU29" s="635">
        <f t="shared" si="17"/>
        <v>6.1673516612929559E-3</v>
      </c>
      <c r="AV29" s="636">
        <f t="shared" si="18"/>
        <v>6.0893775940165998E-3</v>
      </c>
      <c r="AW29" s="636">
        <f t="shared" si="19"/>
        <v>8.0205756438452968E-3</v>
      </c>
      <c r="AX29" s="636">
        <f t="shared" si="20"/>
        <v>8.1212501057546307E-3</v>
      </c>
      <c r="AY29" s="637">
        <f t="shared" si="21"/>
        <v>7.157137983558064E-3</v>
      </c>
      <c r="AZ29" s="638">
        <f t="shared" si="41"/>
        <v>-5.0232060077122593E-3</v>
      </c>
      <c r="BA29" s="639">
        <f t="shared" si="22"/>
        <v>781433.4843210564</v>
      </c>
      <c r="BB29" s="640">
        <f t="shared" si="22"/>
        <v>771553.79034140846</v>
      </c>
      <c r="BC29" s="640">
        <f t="shared" si="22"/>
        <v>1016245.986258009</v>
      </c>
      <c r="BD29" s="640">
        <f t="shared" si="22"/>
        <v>1029001.9307658767</v>
      </c>
      <c r="BE29" s="640">
        <f t="shared" si="22"/>
        <v>906844.2306216486</v>
      </c>
      <c r="BF29" s="641">
        <f t="shared" si="23"/>
        <v>4505079.4223079989</v>
      </c>
      <c r="BH29" s="642">
        <v>25291520</v>
      </c>
      <c r="BI29" s="643">
        <f t="shared" si="24"/>
        <v>0.17812608424910795</v>
      </c>
      <c r="BJ29" s="644">
        <f t="shared" si="25"/>
        <v>4505079.4223079989</v>
      </c>
      <c r="BK29" s="645">
        <f t="shared" si="26"/>
        <v>0</v>
      </c>
      <c r="BM29" s="646">
        <f t="shared" si="27"/>
        <v>4505079.4223079989</v>
      </c>
      <c r="BN29" s="647">
        <f t="shared" si="28"/>
        <v>3.8900936361346249E-2</v>
      </c>
      <c r="BO29" s="648">
        <f t="shared" si="29"/>
        <v>111843.35838949538</v>
      </c>
      <c r="BP29" s="648">
        <f t="shared" si="42"/>
        <v>4616922.7806974938</v>
      </c>
      <c r="BQ29" s="649">
        <f t="shared" si="43"/>
        <v>0.18254825256439683</v>
      </c>
      <c r="BR29" s="142">
        <f t="shared" si="30"/>
        <v>0</v>
      </c>
      <c r="BS29" s="548"/>
      <c r="BT29" s="650">
        <f t="shared" si="31"/>
        <v>25291520</v>
      </c>
      <c r="BU29" s="186">
        <f t="shared" si="44"/>
        <v>0.18254825256439683</v>
      </c>
      <c r="BV29" s="651">
        <f t="shared" si="32"/>
        <v>4616922.7806974938</v>
      </c>
      <c r="BW29" s="652">
        <f t="shared" si="33"/>
        <v>0</v>
      </c>
      <c r="BY29" s="646">
        <f t="shared" si="45"/>
        <v>4616922.7806974938</v>
      </c>
      <c r="BZ29" s="653">
        <f t="shared" si="34"/>
        <v>3.8900936361346242E-2</v>
      </c>
      <c r="CA29" s="654">
        <f t="shared" si="35"/>
        <v>0</v>
      </c>
      <c r="CB29" s="655">
        <f t="shared" si="46"/>
        <v>4616922.7806974938</v>
      </c>
      <c r="CC29" s="190">
        <f t="shared" si="47"/>
        <v>0.18254825256439683</v>
      </c>
      <c r="CD29" s="656">
        <f t="shared" si="36"/>
        <v>0</v>
      </c>
      <c r="CE29" s="657"/>
      <c r="CF29" s="658">
        <f t="shared" si="37"/>
        <v>7587456</v>
      </c>
      <c r="CG29" s="654">
        <f t="shared" si="38"/>
        <v>0</v>
      </c>
      <c r="CH29" s="659">
        <f t="shared" si="39"/>
        <v>4616922.7806974938</v>
      </c>
      <c r="CI29" s="660">
        <f t="shared" si="40"/>
        <v>0.18254825256439683</v>
      </c>
      <c r="CL29" s="661">
        <v>0</v>
      </c>
      <c r="CM29" s="662">
        <f t="shared" si="48"/>
        <v>4616922.7806974938</v>
      </c>
      <c r="CN29" s="663">
        <f t="shared" si="49"/>
        <v>0.18254825256439683</v>
      </c>
    </row>
    <row r="30" spans="1:92">
      <c r="A30" s="664" t="s">
        <v>224</v>
      </c>
      <c r="B30" s="626" t="s">
        <v>46</v>
      </c>
      <c r="C30" s="27"/>
      <c r="D30" s="627">
        <v>28281032</v>
      </c>
      <c r="E30" s="175">
        <v>2458738</v>
      </c>
      <c r="F30" s="175">
        <v>230883</v>
      </c>
      <c r="G30" s="175">
        <v>2329537</v>
      </c>
      <c r="H30" s="191">
        <f t="shared" si="0"/>
        <v>4.7219108254583177E-2</v>
      </c>
      <c r="I30" s="110">
        <f t="shared" si="1"/>
        <v>4.7219108254583184E-2</v>
      </c>
      <c r="J30" s="628"/>
      <c r="K30" s="629">
        <v>7.8216167510040826</v>
      </c>
      <c r="L30" s="630">
        <v>8.8817225863249529</v>
      </c>
      <c r="M30" s="630">
        <v>9.7390196531791915</v>
      </c>
      <c r="N30" s="630">
        <v>10.649281237683155</v>
      </c>
      <c r="O30" s="631">
        <f t="shared" si="2"/>
        <v>0.94314927205126431</v>
      </c>
      <c r="P30" s="632">
        <f t="shared" si="3"/>
        <v>4.4534667577219973E-2</v>
      </c>
      <c r="Q30" s="113">
        <f t="shared" si="4"/>
        <v>4.3105960511587785E-2</v>
      </c>
      <c r="R30" s="633">
        <v>0.78433143162528551</v>
      </c>
      <c r="S30" s="630">
        <v>0.87157122671755427</v>
      </c>
      <c r="T30" s="630">
        <v>0.95474957839955032</v>
      </c>
      <c r="U30" s="630">
        <v>1.0554620939697459</v>
      </c>
      <c r="V30" s="631">
        <f t="shared" si="5"/>
        <v>0.94426272197974803</v>
      </c>
      <c r="W30" s="632">
        <f t="shared" si="6"/>
        <v>4.4587243689929106E-2</v>
      </c>
      <c r="X30" s="113">
        <f t="shared" si="7"/>
        <v>4.321322186817135E-2</v>
      </c>
      <c r="Y30" s="633">
        <v>115.12446224595757</v>
      </c>
      <c r="Z30" s="630">
        <v>128.33355179497212</v>
      </c>
      <c r="AA30" s="630">
        <v>109.8271676300578</v>
      </c>
      <c r="AB30" s="630">
        <v>122.49075072655847</v>
      </c>
      <c r="AC30" s="631">
        <f t="shared" si="8"/>
        <v>0.98733751771107381</v>
      </c>
      <c r="AD30" s="632">
        <f t="shared" si="9"/>
        <v>4.782468751319241E-2</v>
      </c>
      <c r="AE30" s="113">
        <f t="shared" si="10"/>
        <v>4.7896059378097572E-2</v>
      </c>
      <c r="AF30" s="633">
        <v>11.544382339734495</v>
      </c>
      <c r="AG30" s="630">
        <v>12.593483986899244</v>
      </c>
      <c r="AH30" s="630">
        <v>10.766734817850473</v>
      </c>
      <c r="AI30" s="630">
        <v>12.140194381973757</v>
      </c>
      <c r="AJ30" s="631">
        <f t="shared" si="11"/>
        <v>0.98862782106337344</v>
      </c>
      <c r="AK30" s="632">
        <f t="shared" si="12"/>
        <v>4.7762269327798257E-2</v>
      </c>
      <c r="AL30" s="113">
        <f t="shared" si="13"/>
        <v>4.783401990722394E-2</v>
      </c>
      <c r="AM30" s="633">
        <v>14.718755202519828</v>
      </c>
      <c r="AN30" s="630">
        <v>14.449173631313958</v>
      </c>
      <c r="AO30" s="630">
        <v>11.277024951295379</v>
      </c>
      <c r="AP30" s="630">
        <v>11.502255221987866</v>
      </c>
      <c r="AQ30" s="631">
        <f t="shared" si="14"/>
        <v>1.0492744422797424</v>
      </c>
      <c r="AR30" s="632">
        <f t="shared" si="15"/>
        <v>4.5001675778922959E-2</v>
      </c>
      <c r="AS30" s="115">
        <f t="shared" si="16"/>
        <v>4.527559408521336E-2</v>
      </c>
      <c r="AT30" s="628"/>
      <c r="AU30" s="635">
        <f t="shared" si="17"/>
        <v>8.6211921023175569E-3</v>
      </c>
      <c r="AV30" s="636">
        <f t="shared" si="18"/>
        <v>8.6426443736342708E-3</v>
      </c>
      <c r="AW30" s="636">
        <f t="shared" si="19"/>
        <v>9.5792118756195151E-3</v>
      </c>
      <c r="AX30" s="636">
        <f t="shared" si="20"/>
        <v>9.5668039814447887E-3</v>
      </c>
      <c r="AY30" s="637">
        <f t="shared" si="21"/>
        <v>9.0551188170426723E-3</v>
      </c>
      <c r="AZ30" s="638">
        <f t="shared" si="41"/>
        <v>-3.7148882504660981E-2</v>
      </c>
      <c r="BA30" s="639">
        <f t="shared" si="22"/>
        <v>1092347.0159479806</v>
      </c>
      <c r="BB30" s="640">
        <f t="shared" si="22"/>
        <v>1095065.1231749174</v>
      </c>
      <c r="BC30" s="640">
        <f t="shared" si="22"/>
        <v>1213732.785823615</v>
      </c>
      <c r="BD30" s="640">
        <f t="shared" si="22"/>
        <v>1212160.6452176403</v>
      </c>
      <c r="BE30" s="640">
        <f t="shared" si="22"/>
        <v>1147327.6434928267</v>
      </c>
      <c r="BF30" s="641">
        <f t="shared" si="23"/>
        <v>5760633.2136569805</v>
      </c>
      <c r="BH30" s="642">
        <v>28281032</v>
      </c>
      <c r="BI30" s="643">
        <f t="shared" si="24"/>
        <v>0.20369246828252169</v>
      </c>
      <c r="BJ30" s="644">
        <f t="shared" si="25"/>
        <v>5760633.2136569805</v>
      </c>
      <c r="BK30" s="645">
        <f t="shared" si="26"/>
        <v>0</v>
      </c>
      <c r="BM30" s="646">
        <f t="shared" si="27"/>
        <v>5760633.2136569805</v>
      </c>
      <c r="BN30" s="647">
        <f t="shared" si="28"/>
        <v>4.9742525056466605E-2</v>
      </c>
      <c r="BO30" s="648">
        <f t="shared" si="29"/>
        <v>143013.80834156138</v>
      </c>
      <c r="BP30" s="648">
        <f t="shared" si="42"/>
        <v>5903647.0219985424</v>
      </c>
      <c r="BQ30" s="649">
        <f t="shared" si="43"/>
        <v>0.20874934910432344</v>
      </c>
      <c r="BR30" s="142">
        <f t="shared" si="30"/>
        <v>0</v>
      </c>
      <c r="BS30" s="548"/>
      <c r="BT30" s="650">
        <f t="shared" si="31"/>
        <v>28281032</v>
      </c>
      <c r="BU30" s="186">
        <f t="shared" si="44"/>
        <v>0.20874934910432344</v>
      </c>
      <c r="BV30" s="651">
        <f t="shared" si="32"/>
        <v>5903647.0219985424</v>
      </c>
      <c r="BW30" s="652">
        <f t="shared" si="33"/>
        <v>0</v>
      </c>
      <c r="BY30" s="646">
        <f t="shared" si="45"/>
        <v>5903647.0219985424</v>
      </c>
      <c r="BZ30" s="653">
        <f t="shared" si="34"/>
        <v>4.9742525056466605E-2</v>
      </c>
      <c r="CA30" s="654">
        <f t="shared" si="35"/>
        <v>0</v>
      </c>
      <c r="CB30" s="655">
        <f t="shared" si="46"/>
        <v>5903647.0219985424</v>
      </c>
      <c r="CC30" s="190">
        <f t="shared" si="47"/>
        <v>0.20874934910432344</v>
      </c>
      <c r="CD30" s="656">
        <f t="shared" si="36"/>
        <v>0</v>
      </c>
      <c r="CE30" s="657"/>
      <c r="CF30" s="658">
        <f t="shared" si="37"/>
        <v>8484309.5999999996</v>
      </c>
      <c r="CG30" s="654">
        <f t="shared" si="38"/>
        <v>0</v>
      </c>
      <c r="CH30" s="659">
        <f t="shared" si="39"/>
        <v>5903647.0219985424</v>
      </c>
      <c r="CI30" s="660">
        <f t="shared" si="40"/>
        <v>0.20874934910432344</v>
      </c>
      <c r="CL30" s="661">
        <v>0</v>
      </c>
      <c r="CM30" s="662">
        <f t="shared" si="48"/>
        <v>5903647.0219985424</v>
      </c>
      <c r="CN30" s="663">
        <f t="shared" si="49"/>
        <v>0.20874934910432344</v>
      </c>
    </row>
    <row r="31" spans="1:92">
      <c r="A31" s="664" t="s">
        <v>224</v>
      </c>
      <c r="B31" s="626" t="s">
        <v>47</v>
      </c>
      <c r="C31" s="27"/>
      <c r="D31" s="627">
        <v>35845053</v>
      </c>
      <c r="E31" s="175">
        <v>5351810</v>
      </c>
      <c r="F31" s="175">
        <v>308856.31</v>
      </c>
      <c r="G31" s="175">
        <v>2865159</v>
      </c>
      <c r="H31" s="191">
        <f t="shared" si="0"/>
        <v>7.2693203380791147E-2</v>
      </c>
      <c r="I31" s="110">
        <f t="shared" si="1"/>
        <v>7.269320338079116E-2</v>
      </c>
      <c r="J31" s="628"/>
      <c r="K31" s="629">
        <v>7.2218469159098948</v>
      </c>
      <c r="L31" s="630">
        <v>11.021126607734487</v>
      </c>
      <c r="M31" s="630">
        <v>14.745469355165852</v>
      </c>
      <c r="N31" s="630">
        <v>17.327831184669662</v>
      </c>
      <c r="O31" s="631">
        <f t="shared" si="2"/>
        <v>1.1378339509151447</v>
      </c>
      <c r="P31" s="632">
        <f t="shared" si="3"/>
        <v>8.2712794807443757E-2</v>
      </c>
      <c r="Q31" s="113">
        <f t="shared" si="4"/>
        <v>8.0059303476119059E-2</v>
      </c>
      <c r="R31" s="633">
        <v>0.80452628182287345</v>
      </c>
      <c r="S31" s="630">
        <v>1.2173072182855937</v>
      </c>
      <c r="T31" s="630">
        <v>1.5082541507857004</v>
      </c>
      <c r="U31" s="630">
        <v>1.8678928464353985</v>
      </c>
      <c r="V31" s="631">
        <f t="shared" si="5"/>
        <v>1.1322299531663331</v>
      </c>
      <c r="W31" s="632">
        <f t="shared" si="6"/>
        <v>8.2305422259343911E-2</v>
      </c>
      <c r="X31" s="113">
        <f t="shared" si="7"/>
        <v>7.9769059011151722E-2</v>
      </c>
      <c r="Y31" s="633">
        <v>113.69054841372804</v>
      </c>
      <c r="Z31" s="630">
        <v>98.632543150219192</v>
      </c>
      <c r="AA31" s="630">
        <v>103.11566062580688</v>
      </c>
      <c r="AB31" s="630">
        <v>116.71198169789699</v>
      </c>
      <c r="AC31" s="631">
        <f t="shared" si="8"/>
        <v>0.96878639742207318</v>
      </c>
      <c r="AD31" s="632">
        <f t="shared" si="9"/>
        <v>7.5035326233137398E-2</v>
      </c>
      <c r="AE31" s="113">
        <f t="shared" si="10"/>
        <v>7.5147306288742541E-2</v>
      </c>
      <c r="AF31" s="633">
        <v>12.665324432756394</v>
      </c>
      <c r="AG31" s="630">
        <v>10.894177247756708</v>
      </c>
      <c r="AH31" s="630">
        <v>10.547281975490128</v>
      </c>
      <c r="AI31" s="630">
        <v>12.581232664574635</v>
      </c>
      <c r="AJ31" s="631">
        <f t="shared" si="11"/>
        <v>0.96628072093214301</v>
      </c>
      <c r="AK31" s="632">
        <f t="shared" si="12"/>
        <v>7.5229901421055095E-2</v>
      </c>
      <c r="AL31" s="113">
        <f t="shared" si="13"/>
        <v>7.5342915084205223E-2</v>
      </c>
      <c r="AM31" s="633">
        <v>15.742586313102974</v>
      </c>
      <c r="AN31" s="630">
        <v>8.9494065952386492</v>
      </c>
      <c r="AO31" s="630">
        <v>6.9930402445739626</v>
      </c>
      <c r="AP31" s="630">
        <v>6.7355216272625524</v>
      </c>
      <c r="AQ31" s="631">
        <f t="shared" si="14"/>
        <v>0.85513349272278338</v>
      </c>
      <c r="AR31" s="632">
        <f t="shared" si="15"/>
        <v>8.5008018045618527E-2</v>
      </c>
      <c r="AS31" s="115">
        <f t="shared" si="16"/>
        <v>8.5525448828386516E-2</v>
      </c>
      <c r="AT31" s="628"/>
      <c r="AU31" s="635">
        <f t="shared" si="17"/>
        <v>1.6011860695223812E-2</v>
      </c>
      <c r="AV31" s="636">
        <f t="shared" si="18"/>
        <v>1.5953811802230346E-2</v>
      </c>
      <c r="AW31" s="636">
        <f t="shared" si="19"/>
        <v>1.5029461257748509E-2</v>
      </c>
      <c r="AX31" s="636">
        <f t="shared" si="20"/>
        <v>1.5068583016841046E-2</v>
      </c>
      <c r="AY31" s="637">
        <f t="shared" si="21"/>
        <v>1.7105089765677303E-2</v>
      </c>
      <c r="AZ31" s="638">
        <f t="shared" si="41"/>
        <v>8.9081273843559933E-2</v>
      </c>
      <c r="BA31" s="639">
        <f t="shared" si="22"/>
        <v>2028780.711834582</v>
      </c>
      <c r="BB31" s="640">
        <f t="shared" si="22"/>
        <v>2021425.6344522499</v>
      </c>
      <c r="BC31" s="640">
        <f t="shared" si="22"/>
        <v>1904305.9198036001</v>
      </c>
      <c r="BD31" s="640">
        <f t="shared" si="22"/>
        <v>1909262.8371644695</v>
      </c>
      <c r="BE31" s="640">
        <f t="shared" si="22"/>
        <v>2167298.1579933832</v>
      </c>
      <c r="BF31" s="641">
        <f t="shared" si="23"/>
        <v>10031073.261248285</v>
      </c>
      <c r="BH31" s="642">
        <v>36047232</v>
      </c>
      <c r="BI31" s="643">
        <f t="shared" si="24"/>
        <v>0.27827582603979928</v>
      </c>
      <c r="BJ31" s="644">
        <f t="shared" si="25"/>
        <v>10031073.261248285</v>
      </c>
      <c r="BK31" s="645">
        <f t="shared" si="26"/>
        <v>0</v>
      </c>
      <c r="BM31" s="646">
        <f t="shared" si="27"/>
        <v>10031073.261248285</v>
      </c>
      <c r="BN31" s="647">
        <f t="shared" si="28"/>
        <v>8.6617372523902961E-2</v>
      </c>
      <c r="BO31" s="648">
        <f t="shared" si="29"/>
        <v>249031.99624709625</v>
      </c>
      <c r="BP31" s="648">
        <f t="shared" si="42"/>
        <v>10280105.257495381</v>
      </c>
      <c r="BQ31" s="649">
        <f t="shared" si="43"/>
        <v>0.28518431755024576</v>
      </c>
      <c r="BR31" s="142">
        <f t="shared" si="30"/>
        <v>0</v>
      </c>
      <c r="BS31" s="548"/>
      <c r="BT31" s="650">
        <f t="shared" si="31"/>
        <v>36047232</v>
      </c>
      <c r="BU31" s="186">
        <f t="shared" si="44"/>
        <v>0.28518431755024576</v>
      </c>
      <c r="BV31" s="651">
        <f t="shared" si="32"/>
        <v>10280105.257495381</v>
      </c>
      <c r="BW31" s="652">
        <f t="shared" si="33"/>
        <v>0</v>
      </c>
      <c r="BY31" s="646">
        <f t="shared" si="45"/>
        <v>10280105.257495381</v>
      </c>
      <c r="BZ31" s="653">
        <f t="shared" si="34"/>
        <v>8.6617372523902961E-2</v>
      </c>
      <c r="CA31" s="654">
        <f t="shared" si="35"/>
        <v>0</v>
      </c>
      <c r="CB31" s="655">
        <f t="shared" si="46"/>
        <v>10280105.257495381</v>
      </c>
      <c r="CC31" s="190">
        <f t="shared" si="47"/>
        <v>0.28518431755024576</v>
      </c>
      <c r="CD31" s="656">
        <f t="shared" si="36"/>
        <v>0</v>
      </c>
      <c r="CE31" s="657"/>
      <c r="CF31" s="658">
        <f t="shared" si="37"/>
        <v>10814169.6</v>
      </c>
      <c r="CG31" s="654">
        <f t="shared" si="38"/>
        <v>0</v>
      </c>
      <c r="CH31" s="659">
        <f t="shared" si="39"/>
        <v>10280105.257495381</v>
      </c>
      <c r="CI31" s="660">
        <f t="shared" si="40"/>
        <v>0.28518431755024576</v>
      </c>
      <c r="CL31" s="661">
        <v>170685.8</v>
      </c>
      <c r="CM31" s="662">
        <f t="shared" si="48"/>
        <v>10450791.057495382</v>
      </c>
      <c r="CN31" s="663">
        <f t="shared" si="49"/>
        <v>0.28991937737397927</v>
      </c>
    </row>
    <row r="32" spans="1:92">
      <c r="A32" s="664" t="s">
        <v>224</v>
      </c>
      <c r="B32" s="626" t="s">
        <v>48</v>
      </c>
      <c r="C32" s="27"/>
      <c r="D32" s="627">
        <v>5453602</v>
      </c>
      <c r="E32" s="175">
        <v>1002134</v>
      </c>
      <c r="F32" s="175">
        <v>34526</v>
      </c>
      <c r="G32" s="175">
        <v>434414</v>
      </c>
      <c r="H32" s="191">
        <f t="shared" si="0"/>
        <v>1.1852937979457188E-2</v>
      </c>
      <c r="I32" s="110">
        <f t="shared" si="1"/>
        <v>1.185293797945719E-2</v>
      </c>
      <c r="J32" s="628"/>
      <c r="K32" s="629">
        <v>9.5356184364060681</v>
      </c>
      <c r="L32" s="630">
        <v>13.465131541402728</v>
      </c>
      <c r="M32" s="630">
        <v>24.467665569605636</v>
      </c>
      <c r="N32" s="630">
        <v>29.025488038000347</v>
      </c>
      <c r="O32" s="631">
        <f t="shared" si="2"/>
        <v>1.2460987517963511</v>
      </c>
      <c r="P32" s="632">
        <f t="shared" si="3"/>
        <v>1.4769931221321168E-2</v>
      </c>
      <c r="Q32" s="113">
        <f t="shared" si="4"/>
        <v>1.429610024328111E-2</v>
      </c>
      <c r="R32" s="633">
        <v>0.74451206457520036</v>
      </c>
      <c r="S32" s="630">
        <v>1.0865963144527517</v>
      </c>
      <c r="T32" s="630">
        <v>1.9292701193514095</v>
      </c>
      <c r="U32" s="630">
        <v>2.3068639592646645</v>
      </c>
      <c r="V32" s="631">
        <f t="shared" si="5"/>
        <v>1.2548259859674822</v>
      </c>
      <c r="W32" s="632">
        <f t="shared" si="6"/>
        <v>1.4873374586683785E-2</v>
      </c>
      <c r="X32" s="113">
        <f t="shared" si="7"/>
        <v>1.4415029563443501E-2</v>
      </c>
      <c r="Y32" s="633">
        <v>133.20037922987166</v>
      </c>
      <c r="Z32" s="630">
        <v>152.54685270786965</v>
      </c>
      <c r="AA32" s="630">
        <v>153.82888734915412</v>
      </c>
      <c r="AB32" s="630">
        <v>157.95638069860394</v>
      </c>
      <c r="AC32" s="631">
        <f t="shared" si="8"/>
        <v>1.0154239429893224</v>
      </c>
      <c r="AD32" s="632">
        <f t="shared" si="9"/>
        <v>1.1672895898596936E-2</v>
      </c>
      <c r="AE32" s="113">
        <f t="shared" si="10"/>
        <v>1.1690316113813121E-2</v>
      </c>
      <c r="AF32" s="633">
        <v>10.399880196968939</v>
      </c>
      <c r="AG32" s="630">
        <v>12.310080107577638</v>
      </c>
      <c r="AH32" s="630">
        <v>12.129374378259513</v>
      </c>
      <c r="AI32" s="630">
        <v>12.553927820005802</v>
      </c>
      <c r="AJ32" s="631">
        <f t="shared" si="11"/>
        <v>1.0297394729691056</v>
      </c>
      <c r="AK32" s="632">
        <f t="shared" si="12"/>
        <v>1.1510618258889259E-2</v>
      </c>
      <c r="AL32" s="113">
        <f t="shared" si="13"/>
        <v>1.152791001535826E-2</v>
      </c>
      <c r="AM32" s="633">
        <v>13.968719503427852</v>
      </c>
      <c r="AN32" s="630">
        <v>11.329028033541075</v>
      </c>
      <c r="AO32" s="630">
        <v>6.2870275430053413</v>
      </c>
      <c r="AP32" s="630">
        <v>5.4419887959095288</v>
      </c>
      <c r="AQ32" s="634">
        <f t="shared" si="14"/>
        <v>0.84226751674459921</v>
      </c>
      <c r="AR32" s="632">
        <f t="shared" si="15"/>
        <v>1.4072652386345509E-2</v>
      </c>
      <c r="AS32" s="115">
        <f t="shared" si="16"/>
        <v>1.4158310465516123E-2</v>
      </c>
      <c r="AT32" s="628"/>
      <c r="AU32" s="635">
        <f t="shared" si="17"/>
        <v>2.8592200486562223E-3</v>
      </c>
      <c r="AV32" s="636">
        <f t="shared" si="18"/>
        <v>2.8830059126887003E-3</v>
      </c>
      <c r="AW32" s="636">
        <f t="shared" si="19"/>
        <v>2.3380632227626244E-3</v>
      </c>
      <c r="AX32" s="636">
        <f t="shared" si="20"/>
        <v>2.3055820030716523E-3</v>
      </c>
      <c r="AY32" s="637">
        <f t="shared" si="21"/>
        <v>2.8316620931032248E-3</v>
      </c>
      <c r="AZ32" s="638">
        <f t="shared" si="41"/>
        <v>0.11512717802035832</v>
      </c>
      <c r="BA32" s="639">
        <f t="shared" si="22"/>
        <v>362277.10170716024</v>
      </c>
      <c r="BB32" s="640">
        <f t="shared" si="22"/>
        <v>365290.88649344724</v>
      </c>
      <c r="BC32" s="640">
        <f t="shared" si="22"/>
        <v>296243.99435385613</v>
      </c>
      <c r="BD32" s="640">
        <f t="shared" si="22"/>
        <v>292128.46566795133</v>
      </c>
      <c r="BE32" s="640">
        <f t="shared" si="22"/>
        <v>358785.37455890991</v>
      </c>
      <c r="BF32" s="641">
        <f t="shared" si="23"/>
        <v>1674725.8227813249</v>
      </c>
      <c r="BH32" s="642">
        <v>5453602</v>
      </c>
      <c r="BI32" s="643">
        <f t="shared" si="24"/>
        <v>0.3070861831833942</v>
      </c>
      <c r="BJ32" s="644">
        <f t="shared" si="25"/>
        <v>1636080.5999999999</v>
      </c>
      <c r="BK32" s="645">
        <f t="shared" si="26"/>
        <v>38645.222781324992</v>
      </c>
      <c r="BM32" s="646">
        <f t="shared" si="27"/>
        <v>0</v>
      </c>
      <c r="BN32" s="647">
        <f t="shared" si="28"/>
        <v>0</v>
      </c>
      <c r="BO32" s="648">
        <f t="shared" si="29"/>
        <v>0</v>
      </c>
      <c r="BP32" s="648">
        <f t="shared" si="42"/>
        <v>1636080.5999999999</v>
      </c>
      <c r="BQ32" s="649">
        <f t="shared" si="43"/>
        <v>0.3</v>
      </c>
      <c r="BR32" s="142">
        <f t="shared" si="30"/>
        <v>0</v>
      </c>
      <c r="BS32" s="548"/>
      <c r="BT32" s="650">
        <f t="shared" si="31"/>
        <v>5453602</v>
      </c>
      <c r="BU32" s="186">
        <f t="shared" si="44"/>
        <v>0.3</v>
      </c>
      <c r="BV32" s="651">
        <f t="shared" si="32"/>
        <v>1636080.5999999999</v>
      </c>
      <c r="BW32" s="652">
        <f t="shared" si="33"/>
        <v>0</v>
      </c>
      <c r="BY32" s="646">
        <f t="shared" si="45"/>
        <v>0</v>
      </c>
      <c r="BZ32" s="653">
        <f t="shared" si="34"/>
        <v>0</v>
      </c>
      <c r="CA32" s="654">
        <f t="shared" si="35"/>
        <v>0</v>
      </c>
      <c r="CB32" s="655">
        <f t="shared" si="46"/>
        <v>1636080.5999999999</v>
      </c>
      <c r="CC32" s="190">
        <f t="shared" si="47"/>
        <v>0.3</v>
      </c>
      <c r="CD32" s="656">
        <f t="shared" si="36"/>
        <v>0</v>
      </c>
      <c r="CE32" s="657"/>
      <c r="CF32" s="658">
        <f t="shared" si="37"/>
        <v>1636080.5999999999</v>
      </c>
      <c r="CG32" s="654">
        <f t="shared" si="38"/>
        <v>0</v>
      </c>
      <c r="CH32" s="659">
        <f t="shared" si="39"/>
        <v>1636080.5999999999</v>
      </c>
      <c r="CI32" s="660">
        <f t="shared" si="40"/>
        <v>0.3</v>
      </c>
      <c r="CL32" s="661">
        <v>0</v>
      </c>
      <c r="CM32" s="662">
        <f t="shared" si="48"/>
        <v>1636080.5999999999</v>
      </c>
      <c r="CN32" s="663">
        <f t="shared" si="49"/>
        <v>0.3</v>
      </c>
    </row>
    <row r="33" spans="1:92">
      <c r="A33" s="664" t="s">
        <v>224</v>
      </c>
      <c r="B33" s="626" t="s">
        <v>49</v>
      </c>
      <c r="C33" s="27"/>
      <c r="D33" s="627">
        <v>110780790</v>
      </c>
      <c r="E33" s="175">
        <v>8721363</v>
      </c>
      <c r="F33" s="175">
        <v>819202.73699999996</v>
      </c>
      <c r="G33" s="175">
        <v>10820543.213</v>
      </c>
      <c r="H33" s="191">
        <f t="shared" si="0"/>
        <v>0.18057153245697952</v>
      </c>
      <c r="I33" s="110">
        <f t="shared" si="1"/>
        <v>0.18057153245697954</v>
      </c>
      <c r="J33" s="628"/>
      <c r="K33" s="629">
        <v>5.8735316212753474</v>
      </c>
      <c r="L33" s="630">
        <v>6.1587343955565519</v>
      </c>
      <c r="M33" s="630">
        <v>9.8555669967058908</v>
      </c>
      <c r="N33" s="630">
        <v>10.646159498854312</v>
      </c>
      <c r="O33" s="631">
        <f t="shared" si="2"/>
        <v>1.0577335192633481</v>
      </c>
      <c r="P33" s="632">
        <f t="shared" si="3"/>
        <v>0.19099656250449687</v>
      </c>
      <c r="Q33" s="113">
        <f t="shared" si="4"/>
        <v>0.18486924297553703</v>
      </c>
      <c r="R33" s="633">
        <v>0.454872375587629</v>
      </c>
      <c r="S33" s="630">
        <v>0.47446458788106716</v>
      </c>
      <c r="T33" s="630">
        <v>0.7557807792342961</v>
      </c>
      <c r="U33" s="630">
        <v>0.80600047782462481</v>
      </c>
      <c r="V33" s="631">
        <f t="shared" si="5"/>
        <v>1.0532283509620195</v>
      </c>
      <c r="W33" s="632">
        <f t="shared" si="6"/>
        <v>0.19018305736034935</v>
      </c>
      <c r="X33" s="113">
        <f t="shared" si="7"/>
        <v>0.18432228532521344</v>
      </c>
      <c r="Y33" s="633">
        <v>123.96447205256577</v>
      </c>
      <c r="Z33" s="630">
        <v>123.17011468072208</v>
      </c>
      <c r="AA33" s="630">
        <v>127.77476943594867</v>
      </c>
      <c r="AB33" s="630">
        <v>135.70313913636252</v>
      </c>
      <c r="AC33" s="631">
        <f t="shared" si="8"/>
        <v>0.9854985928540646</v>
      </c>
      <c r="AD33" s="632">
        <f t="shared" si="9"/>
        <v>0.18322860505973251</v>
      </c>
      <c r="AE33" s="113">
        <f t="shared" si="10"/>
        <v>0.18350204892161823</v>
      </c>
      <c r="AF33" s="633">
        <v>9.6003592943580749</v>
      </c>
      <c r="AG33" s="630">
        <v>9.4889394391510358</v>
      </c>
      <c r="AH33" s="630">
        <v>9.7984940737616739</v>
      </c>
      <c r="AI33" s="630">
        <v>10.273826443984833</v>
      </c>
      <c r="AJ33" s="631">
        <f t="shared" si="11"/>
        <v>0.98269843075003915</v>
      </c>
      <c r="AK33" s="632">
        <f t="shared" si="12"/>
        <v>0.18375070805715982</v>
      </c>
      <c r="AL33" s="113">
        <f t="shared" si="13"/>
        <v>0.18402674644391434</v>
      </c>
      <c r="AM33" s="633">
        <v>21.10561073742015</v>
      </c>
      <c r="AN33" s="630">
        <v>19.999257439903197</v>
      </c>
      <c r="AO33" s="630">
        <v>12.964730439015423</v>
      </c>
      <c r="AP33" s="630">
        <v>12.746675376314458</v>
      </c>
      <c r="AQ33" s="631">
        <f t="shared" si="14"/>
        <v>0.97433760769024191</v>
      </c>
      <c r="AR33" s="632">
        <f t="shared" si="15"/>
        <v>0.18532747892698218</v>
      </c>
      <c r="AS33" s="115">
        <f t="shared" si="16"/>
        <v>0.1864555388993738</v>
      </c>
      <c r="AT33" s="628"/>
      <c r="AU33" s="635">
        <f t="shared" si="17"/>
        <v>3.6973848595107404E-2</v>
      </c>
      <c r="AV33" s="636">
        <f t="shared" si="18"/>
        <v>3.686445706504269E-2</v>
      </c>
      <c r="AW33" s="636">
        <f t="shared" si="19"/>
        <v>3.6700409784323644E-2</v>
      </c>
      <c r="AX33" s="636">
        <f t="shared" si="20"/>
        <v>3.6805349288782867E-2</v>
      </c>
      <c r="AY33" s="637">
        <f t="shared" si="21"/>
        <v>3.7291107779874759E-2</v>
      </c>
      <c r="AZ33" s="638">
        <f t="shared" si="41"/>
        <v>2.2504322806918563E-2</v>
      </c>
      <c r="BA33" s="639">
        <f t="shared" si="22"/>
        <v>4684766.6426689178</v>
      </c>
      <c r="BB33" s="640">
        <f t="shared" si="22"/>
        <v>4670906.2031823583</v>
      </c>
      <c r="BC33" s="640">
        <f t="shared" si="22"/>
        <v>4650120.6139690457</v>
      </c>
      <c r="BD33" s="640">
        <f t="shared" si="22"/>
        <v>4663416.9601344764</v>
      </c>
      <c r="BE33" s="640">
        <f t="shared" si="22"/>
        <v>4724964.9261139119</v>
      </c>
      <c r="BF33" s="641">
        <f t="shared" si="23"/>
        <v>23394175.34606871</v>
      </c>
      <c r="BH33" s="642">
        <v>111168383</v>
      </c>
      <c r="BI33" s="643">
        <f t="shared" si="24"/>
        <v>0.21043910790776466</v>
      </c>
      <c r="BJ33" s="644">
        <f t="shared" si="25"/>
        <v>23394175.34606871</v>
      </c>
      <c r="BK33" s="645">
        <f t="shared" si="26"/>
        <v>0</v>
      </c>
      <c r="BM33" s="646">
        <f t="shared" si="27"/>
        <v>23394175.34606871</v>
      </c>
      <c r="BN33" s="647">
        <f t="shared" si="28"/>
        <v>0.20200650000913048</v>
      </c>
      <c r="BO33" s="648">
        <f t="shared" si="29"/>
        <v>580785.12989158556</v>
      </c>
      <c r="BP33" s="648">
        <f t="shared" si="42"/>
        <v>23974960.475960296</v>
      </c>
      <c r="BQ33" s="649">
        <f t="shared" si="43"/>
        <v>0.2156634811892541</v>
      </c>
      <c r="BR33" s="142">
        <f t="shared" si="30"/>
        <v>0</v>
      </c>
      <c r="BS33" s="548"/>
      <c r="BT33" s="650">
        <f t="shared" si="31"/>
        <v>111168383</v>
      </c>
      <c r="BU33" s="186">
        <f t="shared" si="44"/>
        <v>0.2156634811892541</v>
      </c>
      <c r="BV33" s="651">
        <f t="shared" si="32"/>
        <v>23974960.475960296</v>
      </c>
      <c r="BW33" s="652">
        <f t="shared" si="33"/>
        <v>0</v>
      </c>
      <c r="BY33" s="646">
        <f t="shared" si="45"/>
        <v>23974960.475960296</v>
      </c>
      <c r="BZ33" s="653">
        <f t="shared" si="34"/>
        <v>0.20200650000913045</v>
      </c>
      <c r="CA33" s="654">
        <f t="shared" si="35"/>
        <v>0</v>
      </c>
      <c r="CB33" s="655">
        <f t="shared" si="46"/>
        <v>23974960.475960296</v>
      </c>
      <c r="CC33" s="190">
        <f t="shared" si="47"/>
        <v>0.2156634811892541</v>
      </c>
      <c r="CD33" s="656">
        <f t="shared" si="36"/>
        <v>0</v>
      </c>
      <c r="CE33" s="657"/>
      <c r="CF33" s="658">
        <f t="shared" si="37"/>
        <v>33350514.899999999</v>
      </c>
      <c r="CG33" s="654">
        <f t="shared" si="38"/>
        <v>0</v>
      </c>
      <c r="CH33" s="659">
        <f t="shared" si="39"/>
        <v>23974960.475960296</v>
      </c>
      <c r="CI33" s="660">
        <f t="shared" si="40"/>
        <v>0.2156634811892541</v>
      </c>
      <c r="CL33" s="661">
        <v>0</v>
      </c>
      <c r="CM33" s="662">
        <f t="shared" si="48"/>
        <v>23974960.475960296</v>
      </c>
      <c r="CN33" s="663">
        <f t="shared" si="49"/>
        <v>0.2156634811892541</v>
      </c>
    </row>
    <row r="34" spans="1:92">
      <c r="A34" s="664" t="s">
        <v>224</v>
      </c>
      <c r="B34" s="626" t="s">
        <v>50</v>
      </c>
      <c r="C34" s="27"/>
      <c r="D34" s="627">
        <v>43121644</v>
      </c>
      <c r="E34" s="175">
        <v>1972474</v>
      </c>
      <c r="F34" s="175">
        <v>236658.2</v>
      </c>
      <c r="G34" s="175">
        <v>5670767.6500000004</v>
      </c>
      <c r="H34" s="191">
        <f t="shared" si="0"/>
        <v>6.2705152368961001E-2</v>
      </c>
      <c r="I34" s="110">
        <f t="shared" si="1"/>
        <v>6.2705152368961015E-2</v>
      </c>
      <c r="J34" s="628"/>
      <c r="K34" s="629">
        <v>3.1822121529637459</v>
      </c>
      <c r="L34" s="630">
        <v>5.5899358680714615</v>
      </c>
      <c r="M34" s="630">
        <v>7.9037213878664074</v>
      </c>
      <c r="N34" s="630">
        <v>8.3346953538901243</v>
      </c>
      <c r="O34" s="631">
        <f t="shared" si="2"/>
        <v>1.1815671689829572</v>
      </c>
      <c r="P34" s="632">
        <f t="shared" si="3"/>
        <v>7.4090349365238242E-2</v>
      </c>
      <c r="Q34" s="113">
        <f t="shared" si="4"/>
        <v>7.171347284651873E-2</v>
      </c>
      <c r="R34" s="633">
        <v>0.14309026388335411</v>
      </c>
      <c r="S34" s="630">
        <v>0.23474655175730527</v>
      </c>
      <c r="T34" s="630">
        <v>0.3221618701088883</v>
      </c>
      <c r="U34" s="630">
        <v>0.34783192007523001</v>
      </c>
      <c r="V34" s="631">
        <f t="shared" si="5"/>
        <v>1.1540245701714695</v>
      </c>
      <c r="W34" s="632">
        <f t="shared" si="6"/>
        <v>7.2363286510126745E-2</v>
      </c>
      <c r="X34" s="113">
        <f t="shared" si="7"/>
        <v>7.0133304871197122E-2</v>
      </c>
      <c r="Y34" s="633">
        <v>162.67460550900779</v>
      </c>
      <c r="Z34" s="630">
        <v>182.03086120018324</v>
      </c>
      <c r="AA34" s="630">
        <v>228.02756454118199</v>
      </c>
      <c r="AB34" s="630">
        <v>209.00700250403324</v>
      </c>
      <c r="AC34" s="631">
        <f t="shared" si="8"/>
        <v>1.045677971525393</v>
      </c>
      <c r="AD34" s="632">
        <f t="shared" si="9"/>
        <v>5.9966025943426211E-2</v>
      </c>
      <c r="AE34" s="113">
        <f t="shared" si="10"/>
        <v>6.0055517110542626E-2</v>
      </c>
      <c r="AF34" s="633">
        <v>7.31477070368339</v>
      </c>
      <c r="AG34" s="630">
        <v>7.6442946732585657</v>
      </c>
      <c r="AH34" s="630">
        <v>9.2945820106638735</v>
      </c>
      <c r="AI34" s="630">
        <v>8.722491213336875</v>
      </c>
      <c r="AJ34" s="631">
        <f t="shared" si="11"/>
        <v>1.0220822440114024</v>
      </c>
      <c r="AK34" s="632">
        <f t="shared" si="12"/>
        <v>6.1350397912070052E-2</v>
      </c>
      <c r="AL34" s="113">
        <f t="shared" si="13"/>
        <v>6.1442561175251209E-2</v>
      </c>
      <c r="AM34" s="633">
        <v>51.119974938660576</v>
      </c>
      <c r="AN34" s="630">
        <v>32.564033916722593</v>
      </c>
      <c r="AO34" s="630">
        <v>28.850658234391222</v>
      </c>
      <c r="AP34" s="630">
        <v>25.07674169596152</v>
      </c>
      <c r="AQ34" s="631">
        <f t="shared" si="14"/>
        <v>0.88959546780913978</v>
      </c>
      <c r="AR34" s="632">
        <f t="shared" si="15"/>
        <v>7.0487265996744305E-2</v>
      </c>
      <c r="AS34" s="115">
        <f t="shared" si="16"/>
        <v>7.0916311186343936E-2</v>
      </c>
      <c r="AT34" s="628"/>
      <c r="AU34" s="635">
        <f t="shared" si="17"/>
        <v>1.4342694569303746E-2</v>
      </c>
      <c r="AV34" s="636">
        <f t="shared" si="18"/>
        <v>1.4026660974239425E-2</v>
      </c>
      <c r="AW34" s="636">
        <f t="shared" si="19"/>
        <v>1.2011103422108526E-2</v>
      </c>
      <c r="AX34" s="636">
        <f t="shared" si="20"/>
        <v>1.2288512235050243E-2</v>
      </c>
      <c r="AY34" s="637">
        <f t="shared" si="21"/>
        <v>1.4183262237268788E-2</v>
      </c>
      <c r="AZ34" s="638">
        <f t="shared" si="41"/>
        <v>6.6136209104604812E-2</v>
      </c>
      <c r="BA34" s="639">
        <f t="shared" si="22"/>
        <v>1817289.2365106426</v>
      </c>
      <c r="BB34" s="640">
        <f t="shared" si="22"/>
        <v>1777246.2412484188</v>
      </c>
      <c r="BC34" s="640">
        <f t="shared" si="22"/>
        <v>1521865.2856437124</v>
      </c>
      <c r="BD34" s="640">
        <f t="shared" si="22"/>
        <v>1557014.3329469382</v>
      </c>
      <c r="BE34" s="640">
        <f t="shared" si="22"/>
        <v>1797088.3837657887</v>
      </c>
      <c r="BF34" s="641">
        <f t="shared" si="23"/>
        <v>8470503.4801155012</v>
      </c>
      <c r="BH34" s="642">
        <v>49463221</v>
      </c>
      <c r="BI34" s="643">
        <f t="shared" si="24"/>
        <v>0.17124852180806222</v>
      </c>
      <c r="BJ34" s="644">
        <f t="shared" si="25"/>
        <v>8470503.4801155012</v>
      </c>
      <c r="BK34" s="645">
        <f t="shared" si="26"/>
        <v>0</v>
      </c>
      <c r="BM34" s="646">
        <f t="shared" si="27"/>
        <v>8470503.4801155012</v>
      </c>
      <c r="BN34" s="647">
        <f t="shared" si="28"/>
        <v>7.3141999494367047E-2</v>
      </c>
      <c r="BO34" s="648">
        <f t="shared" si="29"/>
        <v>210289.20195610638</v>
      </c>
      <c r="BP34" s="648">
        <f t="shared" si="42"/>
        <v>8680792.6820716076</v>
      </c>
      <c r="BQ34" s="649">
        <f t="shared" si="43"/>
        <v>0.17549994736637972</v>
      </c>
      <c r="BR34" s="142">
        <f t="shared" si="30"/>
        <v>0</v>
      </c>
      <c r="BS34" s="548"/>
      <c r="BT34" s="650">
        <f t="shared" si="31"/>
        <v>49463221</v>
      </c>
      <c r="BU34" s="186">
        <f t="shared" si="44"/>
        <v>0.17549994736637972</v>
      </c>
      <c r="BV34" s="651">
        <f t="shared" si="32"/>
        <v>8680792.6820716076</v>
      </c>
      <c r="BW34" s="652">
        <f t="shared" si="33"/>
        <v>0</v>
      </c>
      <c r="BY34" s="646">
        <f t="shared" si="45"/>
        <v>8680792.6820716076</v>
      </c>
      <c r="BZ34" s="653">
        <f t="shared" si="34"/>
        <v>7.3141999494367047E-2</v>
      </c>
      <c r="CA34" s="654">
        <f t="shared" si="35"/>
        <v>0</v>
      </c>
      <c r="CB34" s="655">
        <f t="shared" si="46"/>
        <v>8680792.6820716076</v>
      </c>
      <c r="CC34" s="190">
        <f t="shared" si="47"/>
        <v>0.17549994736637972</v>
      </c>
      <c r="CD34" s="656">
        <f t="shared" si="36"/>
        <v>0</v>
      </c>
      <c r="CE34" s="657"/>
      <c r="CF34" s="658">
        <f t="shared" si="37"/>
        <v>14838966.299999999</v>
      </c>
      <c r="CG34" s="654">
        <f t="shared" si="38"/>
        <v>0</v>
      </c>
      <c r="CH34" s="659">
        <f t="shared" si="39"/>
        <v>8680792.6820716076</v>
      </c>
      <c r="CI34" s="660">
        <f t="shared" si="40"/>
        <v>0.17549994736637972</v>
      </c>
      <c r="CL34" s="661">
        <v>0</v>
      </c>
      <c r="CM34" s="662">
        <f t="shared" si="48"/>
        <v>8680792.6820716076</v>
      </c>
      <c r="CN34" s="663">
        <f t="shared" si="49"/>
        <v>0.17549994736637972</v>
      </c>
    </row>
    <row r="35" spans="1:92">
      <c r="A35" s="664" t="s">
        <v>225</v>
      </c>
      <c r="B35" s="626" t="s">
        <v>29</v>
      </c>
      <c r="C35" s="27"/>
      <c r="D35" s="627">
        <v>3929042</v>
      </c>
      <c r="E35" s="175">
        <v>471466</v>
      </c>
      <c r="F35" s="175">
        <v>41575</v>
      </c>
      <c r="G35" s="175">
        <v>539337</v>
      </c>
      <c r="H35" s="176">
        <f t="shared" si="0"/>
        <v>7.8235461962122069E-3</v>
      </c>
      <c r="I35" s="110">
        <f t="shared" si="1"/>
        <v>7.8235461962122086E-3</v>
      </c>
      <c r="J35" s="628"/>
      <c r="K35" s="629">
        <v>7.0651748073074137</v>
      </c>
      <c r="L35" s="630">
        <v>8.5454680032144825</v>
      </c>
      <c r="M35" s="630">
        <v>10.854112978631212</v>
      </c>
      <c r="N35" s="630">
        <v>11.340132291040289</v>
      </c>
      <c r="O35" s="631">
        <f t="shared" si="2"/>
        <v>0.99594867084409577</v>
      </c>
      <c r="P35" s="632">
        <f t="shared" si="3"/>
        <v>7.7918504354049303E-3</v>
      </c>
      <c r="Q35" s="113">
        <f t="shared" si="4"/>
        <v>7.5418817620762323E-3</v>
      </c>
      <c r="R35" s="633">
        <v>0.60435953803758868</v>
      </c>
      <c r="S35" s="630">
        <v>0.7290038463481342</v>
      </c>
      <c r="T35" s="630">
        <v>0.86015998033680452</v>
      </c>
      <c r="U35" s="630">
        <v>0.8741584575135769</v>
      </c>
      <c r="V35" s="631">
        <f t="shared" si="5"/>
        <v>0.96537457981459074</v>
      </c>
      <c r="W35" s="632">
        <f t="shared" si="6"/>
        <v>7.5526526218284004E-3</v>
      </c>
      <c r="X35" s="113">
        <f t="shared" si="7"/>
        <v>7.3199064671946677E-3</v>
      </c>
      <c r="Y35" s="633">
        <v>99.128071370778855</v>
      </c>
      <c r="Z35" s="630">
        <v>86.295224802267057</v>
      </c>
      <c r="AA35" s="630">
        <v>108.01972678966453</v>
      </c>
      <c r="AB35" s="630">
        <v>94.504918821407102</v>
      </c>
      <c r="AC35" s="631">
        <f t="shared" si="8"/>
        <v>0.94994437862677639</v>
      </c>
      <c r="AD35" s="632">
        <f t="shared" si="9"/>
        <v>8.2357939814558367E-3</v>
      </c>
      <c r="AE35" s="113">
        <f t="shared" si="10"/>
        <v>8.248084787857218E-3</v>
      </c>
      <c r="AF35" s="633">
        <v>8.4794781522232086</v>
      </c>
      <c r="AG35" s="630">
        <v>7.3617443513527165</v>
      </c>
      <c r="AH35" s="630">
        <v>8.5602799836621983</v>
      </c>
      <c r="AI35" s="630">
        <v>7.2849480009715633</v>
      </c>
      <c r="AJ35" s="631">
        <f t="shared" si="11"/>
        <v>0.91837200860332668</v>
      </c>
      <c r="AK35" s="632">
        <f t="shared" si="12"/>
        <v>8.5189292823834757E-3</v>
      </c>
      <c r="AL35" s="113">
        <f t="shared" si="13"/>
        <v>8.5317267922317298E-3</v>
      </c>
      <c r="AM35" s="633">
        <v>14.030519282870687</v>
      </c>
      <c r="AN35" s="630">
        <v>10.098361467131589</v>
      </c>
      <c r="AO35" s="630">
        <v>9.9519626341024754</v>
      </c>
      <c r="AP35" s="630">
        <v>8.3336698722707467</v>
      </c>
      <c r="AQ35" s="634">
        <f t="shared" si="14"/>
        <v>0.94966951764901175</v>
      </c>
      <c r="AR35" s="632">
        <f t="shared" si="15"/>
        <v>8.2381776510844183E-3</v>
      </c>
      <c r="AS35" s="115">
        <f t="shared" si="16"/>
        <v>8.2883221763725493E-3</v>
      </c>
      <c r="AT35" s="628"/>
      <c r="AU35" s="635">
        <f t="shared" si="17"/>
        <v>1.5083763524152466E-3</v>
      </c>
      <c r="AV35" s="636">
        <f t="shared" si="18"/>
        <v>1.4639812934389336E-3</v>
      </c>
      <c r="AW35" s="636">
        <f t="shared" si="19"/>
        <v>1.6496169575714436E-3</v>
      </c>
      <c r="AX35" s="636">
        <f t="shared" si="20"/>
        <v>1.7063453584463461E-3</v>
      </c>
      <c r="AY35" s="637">
        <f t="shared" si="21"/>
        <v>1.6576644352745099E-3</v>
      </c>
      <c r="AZ35" s="638">
        <f t="shared" si="41"/>
        <v>2.0762733019064516E-2</v>
      </c>
      <c r="BA35" s="639">
        <f t="shared" si="22"/>
        <v>191118.62813547166</v>
      </c>
      <c r="BB35" s="640">
        <f t="shared" si="22"/>
        <v>185493.55800363063</v>
      </c>
      <c r="BC35" s="640">
        <f t="shared" si="22"/>
        <v>209014.50050926831</v>
      </c>
      <c r="BD35" s="640">
        <f t="shared" si="22"/>
        <v>216202.26511070234</v>
      </c>
      <c r="BE35" s="640">
        <f t="shared" si="22"/>
        <v>210034.15511741576</v>
      </c>
      <c r="BF35" s="641">
        <f t="shared" si="23"/>
        <v>1011863.1068764888</v>
      </c>
      <c r="BH35" s="642">
        <v>3929042</v>
      </c>
      <c r="BI35" s="643">
        <f t="shared" si="24"/>
        <v>0.2575343065501689</v>
      </c>
      <c r="BJ35" s="644">
        <f t="shared" si="25"/>
        <v>1011863.1068764888</v>
      </c>
      <c r="BK35" s="645">
        <f t="shared" si="26"/>
        <v>0</v>
      </c>
      <c r="BM35" s="646">
        <f t="shared" si="27"/>
        <v>1011863.1068764888</v>
      </c>
      <c r="BN35" s="647">
        <f t="shared" si="28"/>
        <v>8.7373425942467876E-3</v>
      </c>
      <c r="BO35" s="648">
        <f t="shared" si="29"/>
        <v>25120.571136461156</v>
      </c>
      <c r="BP35" s="648">
        <f t="shared" si="42"/>
        <v>1036983.6780129499</v>
      </c>
      <c r="BQ35" s="649">
        <f t="shared" si="43"/>
        <v>0.26392786791613576</v>
      </c>
      <c r="BR35" s="142">
        <f t="shared" si="30"/>
        <v>0</v>
      </c>
      <c r="BS35" s="548"/>
      <c r="BT35" s="650">
        <f t="shared" si="31"/>
        <v>3929042</v>
      </c>
      <c r="BU35" s="186">
        <f t="shared" si="44"/>
        <v>0.26392786791613576</v>
      </c>
      <c r="BV35" s="651">
        <f t="shared" si="32"/>
        <v>1036983.6780129499</v>
      </c>
      <c r="BW35" s="652">
        <f t="shared" si="33"/>
        <v>0</v>
      </c>
      <c r="BY35" s="646">
        <f t="shared" si="45"/>
        <v>1036983.6780129499</v>
      </c>
      <c r="BZ35" s="653">
        <f t="shared" si="34"/>
        <v>8.7373425942467858E-3</v>
      </c>
      <c r="CA35" s="654">
        <f t="shared" si="35"/>
        <v>0</v>
      </c>
      <c r="CB35" s="655">
        <f t="shared" si="46"/>
        <v>1036983.6780129499</v>
      </c>
      <c r="CC35" s="190">
        <f t="shared" si="47"/>
        <v>0.26392786791613576</v>
      </c>
      <c r="CD35" s="656">
        <f t="shared" si="36"/>
        <v>0</v>
      </c>
      <c r="CE35" s="657"/>
      <c r="CF35" s="658">
        <f t="shared" si="37"/>
        <v>1178712.5999999999</v>
      </c>
      <c r="CG35" s="654">
        <f t="shared" si="38"/>
        <v>0</v>
      </c>
      <c r="CH35" s="659">
        <f t="shared" si="39"/>
        <v>1036983.6780129499</v>
      </c>
      <c r="CI35" s="660">
        <f t="shared" si="40"/>
        <v>0.26392786791613576</v>
      </c>
      <c r="CL35" s="661">
        <v>0</v>
      </c>
      <c r="CM35" s="662">
        <f t="shared" si="48"/>
        <v>1036983.6780129499</v>
      </c>
      <c r="CN35" s="663">
        <f t="shared" si="49"/>
        <v>0.26392786791613576</v>
      </c>
    </row>
    <row r="36" spans="1:92">
      <c r="A36" s="664" t="s">
        <v>225</v>
      </c>
      <c r="B36" s="626" t="s">
        <v>39</v>
      </c>
      <c r="C36" s="27"/>
      <c r="D36" s="627">
        <v>74193463</v>
      </c>
      <c r="E36" s="175">
        <v>10824111</v>
      </c>
      <c r="F36" s="175">
        <v>633650.79</v>
      </c>
      <c r="G36" s="175">
        <v>7725466.0599999996</v>
      </c>
      <c r="H36" s="191">
        <f t="shared" si="0"/>
        <v>0.15163105844129859</v>
      </c>
      <c r="I36" s="110">
        <f t="shared" si="1"/>
        <v>0.15163105844129862</v>
      </c>
      <c r="J36" s="628"/>
      <c r="K36" s="670">
        <v>12.685908078458269</v>
      </c>
      <c r="L36" s="669">
        <v>14.999735241854868</v>
      </c>
      <c r="M36" s="669">
        <v>16.489050494667865</v>
      </c>
      <c r="N36" s="669">
        <v>17.082139201625552</v>
      </c>
      <c r="O36" s="631">
        <f t="shared" si="2"/>
        <v>0.93821685004918709</v>
      </c>
      <c r="P36" s="632">
        <f t="shared" si="3"/>
        <v>0.1422628140204194</v>
      </c>
      <c r="Q36" s="113">
        <f t="shared" si="4"/>
        <v>0.13769891136603749</v>
      </c>
      <c r="R36" s="668">
        <v>1.0554722157446399</v>
      </c>
      <c r="S36" s="669">
        <v>1.2009259173704827</v>
      </c>
      <c r="T36" s="669">
        <v>1.3706452252341543</v>
      </c>
      <c r="U36" s="669">
        <v>1.4010948874714233</v>
      </c>
      <c r="V36" s="631">
        <f t="shared" si="5"/>
        <v>0.93828620848089661</v>
      </c>
      <c r="W36" s="632">
        <f t="shared" si="6"/>
        <v>0.14227333091283134</v>
      </c>
      <c r="X36" s="113">
        <f t="shared" si="7"/>
        <v>0.13788896791681715</v>
      </c>
      <c r="Y36" s="667">
        <v>106.94058914595765</v>
      </c>
      <c r="Z36" s="666">
        <v>99.059409351732896</v>
      </c>
      <c r="AA36" s="666">
        <v>117.86879438091567</v>
      </c>
      <c r="AB36" s="666">
        <v>120.78064796541956</v>
      </c>
      <c r="AC36" s="631">
        <f t="shared" si="8"/>
        <v>0.99770100373043302</v>
      </c>
      <c r="AD36" s="632">
        <f t="shared" si="9"/>
        <v>0.15198046095407911</v>
      </c>
      <c r="AE36" s="113">
        <f t="shared" si="10"/>
        <v>0.15220727119563995</v>
      </c>
      <c r="AF36" s="668">
        <v>8.897496330640184</v>
      </c>
      <c r="AG36" s="669">
        <v>7.9310074565820816</v>
      </c>
      <c r="AH36" s="669">
        <v>9.7977928004133119</v>
      </c>
      <c r="AI36" s="669">
        <v>9.9065548156715355</v>
      </c>
      <c r="AJ36" s="631">
        <f t="shared" si="11"/>
        <v>0.99958570531382751</v>
      </c>
      <c r="AK36" s="632">
        <f t="shared" si="12"/>
        <v>0.15169390441982453</v>
      </c>
      <c r="AL36" s="113">
        <f t="shared" si="13"/>
        <v>0.15192178566773523</v>
      </c>
      <c r="AM36" s="668">
        <v>8.4298726180707302</v>
      </c>
      <c r="AN36" s="669">
        <v>6.6040771889973175</v>
      </c>
      <c r="AO36" s="669">
        <v>7.148306957943479</v>
      </c>
      <c r="AP36" s="669">
        <v>7.0705809465553333</v>
      </c>
      <c r="AQ36" s="631">
        <f t="shared" si="14"/>
        <v>1.0639513252329815</v>
      </c>
      <c r="AR36" s="632">
        <f t="shared" si="15"/>
        <v>0.14251691298762639</v>
      </c>
      <c r="AS36" s="115">
        <f t="shared" si="16"/>
        <v>0.14338439160364697</v>
      </c>
      <c r="AT36" s="628"/>
      <c r="AU36" s="635">
        <f t="shared" si="17"/>
        <v>2.7539782273207497E-2</v>
      </c>
      <c r="AV36" s="636">
        <f t="shared" si="18"/>
        <v>2.757779358336343E-2</v>
      </c>
      <c r="AW36" s="636">
        <f t="shared" si="19"/>
        <v>3.0441454239127991E-2</v>
      </c>
      <c r="AX36" s="636">
        <f t="shared" si="20"/>
        <v>3.0384357133547049E-2</v>
      </c>
      <c r="AY36" s="637">
        <f t="shared" si="21"/>
        <v>2.8676878320729394E-2</v>
      </c>
      <c r="AZ36" s="638">
        <f t="shared" si="41"/>
        <v>-4.6235863307894552E-2</v>
      </c>
      <c r="BA36" s="639">
        <f t="shared" si="22"/>
        <v>3489424.5052152779</v>
      </c>
      <c r="BB36" s="640">
        <f t="shared" si="22"/>
        <v>3494240.7232891042</v>
      </c>
      <c r="BC36" s="640">
        <f t="shared" si="22"/>
        <v>3857080.471538207</v>
      </c>
      <c r="BD36" s="640">
        <f t="shared" si="22"/>
        <v>3849845.9902552944</v>
      </c>
      <c r="BE36" s="640">
        <f t="shared" si="22"/>
        <v>3633500.110956958</v>
      </c>
      <c r="BF36" s="671">
        <f t="shared" si="23"/>
        <v>18324091.801254842</v>
      </c>
      <c r="BG36" s="672"/>
      <c r="BH36" s="642">
        <v>76532753</v>
      </c>
      <c r="BI36" s="643">
        <f t="shared" si="24"/>
        <v>0.23942810212582896</v>
      </c>
      <c r="BJ36" s="651">
        <f t="shared" si="25"/>
        <v>18324091.801254842</v>
      </c>
      <c r="BK36" s="645">
        <f t="shared" si="26"/>
        <v>0</v>
      </c>
      <c r="BM36" s="646">
        <f t="shared" si="27"/>
        <v>18324091.801254842</v>
      </c>
      <c r="BN36" s="647">
        <f t="shared" si="28"/>
        <v>0.1582268062823394</v>
      </c>
      <c r="BO36" s="648">
        <f t="shared" si="29"/>
        <v>454914.94696886308</v>
      </c>
      <c r="BP36" s="648">
        <f t="shared" si="42"/>
        <v>18779006.748223707</v>
      </c>
      <c r="BQ36" s="649">
        <f t="shared" si="43"/>
        <v>0.24537215782925917</v>
      </c>
      <c r="BR36" s="142">
        <f t="shared" si="30"/>
        <v>0</v>
      </c>
      <c r="BS36" s="548"/>
      <c r="BT36" s="650">
        <f t="shared" si="31"/>
        <v>76532753</v>
      </c>
      <c r="BU36" s="186">
        <f t="shared" si="44"/>
        <v>0.24537215782925917</v>
      </c>
      <c r="BV36" s="651">
        <f t="shared" si="32"/>
        <v>18779006.748223707</v>
      </c>
      <c r="BW36" s="652">
        <f t="shared" si="33"/>
        <v>0</v>
      </c>
      <c r="BY36" s="646">
        <f t="shared" si="45"/>
        <v>18779006.748223707</v>
      </c>
      <c r="BZ36" s="653">
        <f t="shared" si="34"/>
        <v>0.1582268062823394</v>
      </c>
      <c r="CA36" s="654">
        <f t="shared" si="35"/>
        <v>0</v>
      </c>
      <c r="CB36" s="655">
        <f t="shared" si="46"/>
        <v>18779006.748223707</v>
      </c>
      <c r="CC36" s="190">
        <f t="shared" si="47"/>
        <v>0.24537215782925917</v>
      </c>
      <c r="CD36" s="656">
        <f t="shared" si="36"/>
        <v>0</v>
      </c>
      <c r="CE36" s="657"/>
      <c r="CF36" s="658">
        <f t="shared" si="37"/>
        <v>22959825.899999999</v>
      </c>
      <c r="CG36" s="654">
        <f t="shared" si="38"/>
        <v>0</v>
      </c>
      <c r="CH36" s="659">
        <f t="shared" si="39"/>
        <v>18779006.748223707</v>
      </c>
      <c r="CI36" s="660">
        <f t="shared" si="40"/>
        <v>0.24537215782925917</v>
      </c>
      <c r="CL36" s="661">
        <v>370745.59999999998</v>
      </c>
      <c r="CM36" s="662">
        <f t="shared" si="48"/>
        <v>19149752.348223709</v>
      </c>
      <c r="CN36" s="663">
        <f t="shared" si="49"/>
        <v>0.25021643149598588</v>
      </c>
    </row>
    <row r="37" spans="1:92">
      <c r="A37" s="664" t="s">
        <v>226</v>
      </c>
      <c r="B37" s="626" t="s">
        <v>343</v>
      </c>
      <c r="C37" s="27"/>
      <c r="D37" s="627">
        <v>12808994</v>
      </c>
      <c r="E37" s="175">
        <v>3791431</v>
      </c>
      <c r="F37" s="175">
        <v>99331.900000000009</v>
      </c>
      <c r="G37" s="175">
        <v>1022384</v>
      </c>
      <c r="H37" s="191">
        <f t="shared" si="0"/>
        <v>3.6355300610586123E-2</v>
      </c>
      <c r="I37" s="110">
        <f t="shared" si="1"/>
        <v>3.635530061058613E-2</v>
      </c>
      <c r="J37" s="628"/>
      <c r="K37" s="629">
        <v>7.7359808402431227</v>
      </c>
      <c r="L37" s="630">
        <v>32.633977790205321</v>
      </c>
      <c r="M37" s="630">
        <v>37.897163158744682</v>
      </c>
      <c r="N37" s="630">
        <v>38.169319221720308</v>
      </c>
      <c r="O37" s="631">
        <f t="shared" si="2"/>
        <v>1.7360665328826819</v>
      </c>
      <c r="P37" s="632">
        <f t="shared" si="3"/>
        <v>6.3115220682927908E-2</v>
      </c>
      <c r="Q37" s="113">
        <f t="shared" si="4"/>
        <v>6.1090434900429813E-2</v>
      </c>
      <c r="R37" s="633">
        <v>0.74890286156611607</v>
      </c>
      <c r="S37" s="630">
        <v>3.1121743743196539</v>
      </c>
      <c r="T37" s="630">
        <v>3.6271477751754029</v>
      </c>
      <c r="U37" s="630">
        <v>3.7084216889153194</v>
      </c>
      <c r="V37" s="631">
        <f t="shared" si="5"/>
        <v>1.7450415348457822</v>
      </c>
      <c r="W37" s="632">
        <f t="shared" si="6"/>
        <v>6.3441509577277025E-2</v>
      </c>
      <c r="X37" s="113">
        <f t="shared" si="7"/>
        <v>6.1486465682421478E-2</v>
      </c>
      <c r="Y37" s="633">
        <v>94.638769882541524</v>
      </c>
      <c r="Z37" s="630">
        <v>99.879114404410004</v>
      </c>
      <c r="AA37" s="630">
        <v>129.41512623136137</v>
      </c>
      <c r="AB37" s="630">
        <v>128.95146473590054</v>
      </c>
      <c r="AC37" s="631">
        <f t="shared" si="8"/>
        <v>1.0634476998773559</v>
      </c>
      <c r="AD37" s="632">
        <f t="shared" si="9"/>
        <v>3.4186260983759591E-2</v>
      </c>
      <c r="AE37" s="113">
        <f t="shared" si="10"/>
        <v>3.4237279345351028E-2</v>
      </c>
      <c r="AF37" s="633">
        <v>9.1617659148578081</v>
      </c>
      <c r="AG37" s="630">
        <v>9.5250791177666656</v>
      </c>
      <c r="AH37" s="630">
        <v>12.386356868398249</v>
      </c>
      <c r="AI37" s="630">
        <v>12.528554828714064</v>
      </c>
      <c r="AJ37" s="631">
        <f t="shared" si="11"/>
        <v>1.0693597112593702</v>
      </c>
      <c r="AK37" s="632">
        <f t="shared" si="12"/>
        <v>3.399726044267274E-2</v>
      </c>
      <c r="AL37" s="113">
        <f t="shared" si="13"/>
        <v>3.4048332620983744E-2</v>
      </c>
      <c r="AM37" s="633">
        <v>12.233583799771571</v>
      </c>
      <c r="AN37" s="630">
        <v>3.0605865777841972</v>
      </c>
      <c r="AO37" s="630">
        <v>3.4149027379506931</v>
      </c>
      <c r="AP37" s="630">
        <v>3.3784062007194646</v>
      </c>
      <c r="AQ37" s="631">
        <f t="shared" si="14"/>
        <v>0.85035846976223872</v>
      </c>
      <c r="AR37" s="632">
        <f t="shared" si="15"/>
        <v>4.275291174644396E-2</v>
      </c>
      <c r="AS37" s="115">
        <f t="shared" si="16"/>
        <v>4.3013142170575266E-2</v>
      </c>
      <c r="AT37" s="628"/>
      <c r="AU37" s="635">
        <f t="shared" si="17"/>
        <v>1.2218086980085963E-2</v>
      </c>
      <c r="AV37" s="636">
        <f t="shared" si="18"/>
        <v>1.2297293136484297E-2</v>
      </c>
      <c r="AW37" s="636">
        <f t="shared" si="19"/>
        <v>6.8474558690702061E-3</v>
      </c>
      <c r="AX37" s="636">
        <f t="shared" si="20"/>
        <v>6.8096665241967492E-3</v>
      </c>
      <c r="AY37" s="637">
        <f t="shared" si="21"/>
        <v>8.602628434115054E-3</v>
      </c>
      <c r="AZ37" s="638">
        <f t="shared" si="41"/>
        <v>0.28661103493480755</v>
      </c>
      <c r="BA37" s="639">
        <f t="shared" si="22"/>
        <v>1548091.1102423975</v>
      </c>
      <c r="BB37" s="640">
        <f t="shared" si="22"/>
        <v>1558126.9159128419</v>
      </c>
      <c r="BC37" s="640">
        <f t="shared" si="22"/>
        <v>867605.99887382158</v>
      </c>
      <c r="BD37" s="640">
        <f t="shared" si="22"/>
        <v>862817.9048820344</v>
      </c>
      <c r="BE37" s="640">
        <f t="shared" si="22"/>
        <v>1089994.9088002231</v>
      </c>
      <c r="BF37" s="641">
        <f t="shared" si="23"/>
        <v>5926636.8387113186</v>
      </c>
      <c r="BH37" s="642">
        <v>12808994</v>
      </c>
      <c r="BI37" s="643">
        <f t="shared" si="24"/>
        <v>0.46269338862297216</v>
      </c>
      <c r="BJ37" s="644">
        <f t="shared" si="25"/>
        <v>3842698.1999999997</v>
      </c>
      <c r="BK37" s="645">
        <f t="shared" si="26"/>
        <v>2083938.6387113188</v>
      </c>
      <c r="BM37" s="646">
        <f t="shared" si="27"/>
        <v>0</v>
      </c>
      <c r="BN37" s="647">
        <f t="shared" si="28"/>
        <v>0</v>
      </c>
      <c r="BO37" s="648">
        <f t="shared" si="29"/>
        <v>0</v>
      </c>
      <c r="BP37" s="648">
        <f t="shared" si="42"/>
        <v>3842698.1999999997</v>
      </c>
      <c r="BQ37" s="649">
        <f t="shared" si="43"/>
        <v>0.3</v>
      </c>
      <c r="BR37" s="142">
        <f t="shared" si="30"/>
        <v>0</v>
      </c>
      <c r="BS37" s="548"/>
      <c r="BT37" s="650">
        <f t="shared" si="31"/>
        <v>12808994</v>
      </c>
      <c r="BU37" s="186">
        <f t="shared" si="44"/>
        <v>0.3</v>
      </c>
      <c r="BV37" s="651">
        <f t="shared" si="32"/>
        <v>3842698.1999999997</v>
      </c>
      <c r="BW37" s="652">
        <f t="shared" si="33"/>
        <v>0</v>
      </c>
      <c r="BY37" s="646">
        <f t="shared" si="45"/>
        <v>0</v>
      </c>
      <c r="BZ37" s="653">
        <f t="shared" si="34"/>
        <v>0</v>
      </c>
      <c r="CA37" s="654">
        <f t="shared" si="35"/>
        <v>0</v>
      </c>
      <c r="CB37" s="655">
        <f t="shared" si="46"/>
        <v>3842698.1999999997</v>
      </c>
      <c r="CC37" s="190">
        <f t="shared" si="47"/>
        <v>0.3</v>
      </c>
      <c r="CD37" s="656">
        <f t="shared" si="36"/>
        <v>0</v>
      </c>
      <c r="CE37" s="657"/>
      <c r="CF37" s="658">
        <f t="shared" si="37"/>
        <v>3842698.1999999997</v>
      </c>
      <c r="CG37" s="654">
        <f t="shared" si="38"/>
        <v>0</v>
      </c>
      <c r="CH37" s="659">
        <f t="shared" si="39"/>
        <v>3842698.1999999997</v>
      </c>
      <c r="CI37" s="660">
        <f t="shared" si="40"/>
        <v>0.3</v>
      </c>
      <c r="CL37" s="661">
        <v>0</v>
      </c>
      <c r="CM37" s="662">
        <f t="shared" si="48"/>
        <v>3842698.1999999997</v>
      </c>
      <c r="CN37" s="663">
        <f t="shared" si="49"/>
        <v>0.3</v>
      </c>
    </row>
    <row r="38" spans="1:92">
      <c r="A38" s="664" t="s">
        <v>226</v>
      </c>
      <c r="B38" s="626" t="s">
        <v>30</v>
      </c>
      <c r="C38" s="27"/>
      <c r="D38" s="627">
        <v>2846110</v>
      </c>
      <c r="E38" s="175">
        <v>90833</v>
      </c>
      <c r="F38" s="175">
        <v>36673.339999999997</v>
      </c>
      <c r="G38" s="175">
        <v>438033</v>
      </c>
      <c r="H38" s="191">
        <f t="shared" si="0"/>
        <v>4.4625450380595365E-3</v>
      </c>
      <c r="I38" s="110">
        <f t="shared" si="1"/>
        <v>4.4625450380595373E-3</v>
      </c>
      <c r="J38" s="628"/>
      <c r="K38" s="629">
        <v>3.353975911522431</v>
      </c>
      <c r="L38" s="630">
        <v>4.039822296622992</v>
      </c>
      <c r="M38" s="630">
        <v>3.7461598379809939</v>
      </c>
      <c r="N38" s="630">
        <v>2.4768128564237677</v>
      </c>
      <c r="O38" s="631">
        <f t="shared" si="2"/>
        <v>0.77907852184148563</v>
      </c>
      <c r="P38" s="632">
        <f t="shared" si="3"/>
        <v>3.4766729919024804E-3</v>
      </c>
      <c r="Q38" s="113">
        <f t="shared" si="4"/>
        <v>3.3651385954727555E-3</v>
      </c>
      <c r="R38" s="633">
        <v>0.29134203947124609</v>
      </c>
      <c r="S38" s="630">
        <v>0.3358526722031458</v>
      </c>
      <c r="T38" s="630">
        <v>0.30962589842834592</v>
      </c>
      <c r="U38" s="630">
        <v>0.20736565509904506</v>
      </c>
      <c r="V38" s="631">
        <f t="shared" si="5"/>
        <v>0.77142009613882967</v>
      </c>
      <c r="W38" s="632">
        <f t="shared" si="6"/>
        <v>3.4424969222837457E-3</v>
      </c>
      <c r="X38" s="113">
        <f t="shared" si="7"/>
        <v>3.3364112910335645E-3</v>
      </c>
      <c r="Y38" s="633">
        <v>54.975878704341831</v>
      </c>
      <c r="Z38" s="630">
        <v>56.597366641985644</v>
      </c>
      <c r="AA38" s="630">
        <v>81.316934101885025</v>
      </c>
      <c r="AB38" s="630">
        <v>77.607057333747079</v>
      </c>
      <c r="AC38" s="631">
        <f t="shared" si="8"/>
        <v>1.084327821452679</v>
      </c>
      <c r="AD38" s="632">
        <f t="shared" si="9"/>
        <v>4.1154943641315452E-3</v>
      </c>
      <c r="AE38" s="113">
        <f t="shared" si="10"/>
        <v>4.1216361817376446E-3</v>
      </c>
      <c r="AF38" s="633">
        <v>4.775462032515458</v>
      </c>
      <c r="AG38" s="630">
        <v>4.7052507339893959</v>
      </c>
      <c r="AH38" s="630">
        <v>6.7209702382331962</v>
      </c>
      <c r="AI38" s="630">
        <v>6.4974785004782749</v>
      </c>
      <c r="AJ38" s="631">
        <f t="shared" si="11"/>
        <v>1.0755645694817073</v>
      </c>
      <c r="AK38" s="632">
        <f t="shared" si="12"/>
        <v>4.1490256974622613E-3</v>
      </c>
      <c r="AL38" s="113">
        <f t="shared" si="13"/>
        <v>4.1552585461529686E-3</v>
      </c>
      <c r="AM38" s="633">
        <v>16.391256274523233</v>
      </c>
      <c r="AN38" s="630">
        <v>14.009865406529656</v>
      </c>
      <c r="AO38" s="630">
        <v>21.706744404614373</v>
      </c>
      <c r="AP38" s="630">
        <v>31.333436086003985</v>
      </c>
      <c r="AQ38" s="634">
        <f t="shared" si="14"/>
        <v>1.4195954903170527</v>
      </c>
      <c r="AR38" s="632">
        <f t="shared" si="15"/>
        <v>3.1435328362890698E-3</v>
      </c>
      <c r="AS38" s="115">
        <f t="shared" si="16"/>
        <v>3.1626670390799768E-3</v>
      </c>
      <c r="AT38" s="628"/>
      <c r="AU38" s="635">
        <f t="shared" si="17"/>
        <v>6.7302771909455114E-4</v>
      </c>
      <c r="AV38" s="636">
        <f t="shared" si="18"/>
        <v>6.672822582067129E-4</v>
      </c>
      <c r="AW38" s="636">
        <f t="shared" si="19"/>
        <v>8.2432723634752892E-4</v>
      </c>
      <c r="AX38" s="636">
        <f t="shared" si="20"/>
        <v>8.3105170923059371E-4</v>
      </c>
      <c r="AY38" s="637">
        <f t="shared" si="21"/>
        <v>6.3253340781599539E-4</v>
      </c>
      <c r="AZ38" s="638">
        <f t="shared" si="41"/>
        <v>-0.18696118476082574</v>
      </c>
      <c r="BA38" s="639">
        <f t="shared" si="22"/>
        <v>85275.888981243901</v>
      </c>
      <c r="BB38" s="640">
        <f t="shared" si="22"/>
        <v>84547.911112105736</v>
      </c>
      <c r="BC38" s="640">
        <f t="shared" si="22"/>
        <v>104446.27449454569</v>
      </c>
      <c r="BD38" s="640">
        <f t="shared" si="22"/>
        <v>105298.29795028847</v>
      </c>
      <c r="BE38" s="640">
        <f t="shared" si="22"/>
        <v>80145.062575449279</v>
      </c>
      <c r="BF38" s="641">
        <f t="shared" si="23"/>
        <v>459713.43511363311</v>
      </c>
      <c r="BH38" s="642">
        <v>2846110</v>
      </c>
      <c r="BI38" s="643">
        <f t="shared" si="24"/>
        <v>0.1615234249953913</v>
      </c>
      <c r="BJ38" s="644">
        <f t="shared" si="25"/>
        <v>459713.43511363311</v>
      </c>
      <c r="BK38" s="645">
        <f t="shared" si="26"/>
        <v>0</v>
      </c>
      <c r="BM38" s="646">
        <f t="shared" si="27"/>
        <v>459713.43511363311</v>
      </c>
      <c r="BN38" s="647">
        <f t="shared" si="28"/>
        <v>3.9695821998737436E-3</v>
      </c>
      <c r="BO38" s="648">
        <f t="shared" si="29"/>
        <v>11412.871929689356</v>
      </c>
      <c r="BP38" s="648">
        <f t="shared" si="42"/>
        <v>471126.30704332248</v>
      </c>
      <c r="BQ38" s="649">
        <f t="shared" si="43"/>
        <v>0.16553341474620534</v>
      </c>
      <c r="BR38" s="142">
        <f t="shared" si="30"/>
        <v>0</v>
      </c>
      <c r="BS38" s="548"/>
      <c r="BT38" s="650">
        <f t="shared" si="31"/>
        <v>2846110</v>
      </c>
      <c r="BU38" s="186">
        <f t="shared" si="44"/>
        <v>0.16553341474620534</v>
      </c>
      <c r="BV38" s="651">
        <f t="shared" si="32"/>
        <v>471126.30704332248</v>
      </c>
      <c r="BW38" s="652">
        <f t="shared" si="33"/>
        <v>0</v>
      </c>
      <c r="BY38" s="646">
        <f t="shared" si="45"/>
        <v>471126.30704332248</v>
      </c>
      <c r="BZ38" s="653">
        <f t="shared" si="34"/>
        <v>3.9695821998737436E-3</v>
      </c>
      <c r="CA38" s="654">
        <f t="shared" si="35"/>
        <v>0</v>
      </c>
      <c r="CB38" s="655">
        <f t="shared" si="46"/>
        <v>471126.30704332248</v>
      </c>
      <c r="CC38" s="190">
        <f t="shared" si="47"/>
        <v>0.16553341474620534</v>
      </c>
      <c r="CD38" s="656">
        <f t="shared" si="36"/>
        <v>0</v>
      </c>
      <c r="CE38" s="657"/>
      <c r="CF38" s="658">
        <f t="shared" si="37"/>
        <v>853833</v>
      </c>
      <c r="CG38" s="654">
        <f t="shared" si="38"/>
        <v>0</v>
      </c>
      <c r="CH38" s="659">
        <f t="shared" si="39"/>
        <v>471126.30704332248</v>
      </c>
      <c r="CI38" s="660">
        <f t="shared" si="40"/>
        <v>0.16553341474620534</v>
      </c>
      <c r="CL38" s="661">
        <v>0</v>
      </c>
      <c r="CM38" s="662">
        <f t="shared" si="48"/>
        <v>471126.30704332248</v>
      </c>
      <c r="CN38" s="663">
        <f t="shared" si="49"/>
        <v>0.16553341474620534</v>
      </c>
    </row>
    <row r="39" spans="1:92">
      <c r="A39" s="664" t="s">
        <v>226</v>
      </c>
      <c r="B39" s="626" t="s">
        <v>40</v>
      </c>
      <c r="C39" s="27"/>
      <c r="D39" s="627">
        <v>14257696</v>
      </c>
      <c r="E39" s="175">
        <v>1396636</v>
      </c>
      <c r="F39" s="175">
        <v>143067</v>
      </c>
      <c r="G39" s="175">
        <v>2359994</v>
      </c>
      <c r="H39" s="191">
        <f t="shared" si="0"/>
        <v>2.7058300170219741E-2</v>
      </c>
      <c r="I39" s="110">
        <f t="shared" si="1"/>
        <v>2.7058300170219745E-2</v>
      </c>
      <c r="J39" s="628"/>
      <c r="K39" s="670">
        <v>7.5369057433360815</v>
      </c>
      <c r="L39" s="666">
        <v>7.2816302952503209</v>
      </c>
      <c r="M39" s="666">
        <v>9.0953319765962863</v>
      </c>
      <c r="N39" s="666">
        <v>9.762111458267805</v>
      </c>
      <c r="O39" s="631">
        <f t="shared" si="2"/>
        <v>0.93562893210464482</v>
      </c>
      <c r="P39" s="632">
        <f t="shared" si="3"/>
        <v>2.5316528492829629E-2</v>
      </c>
      <c r="Q39" s="113">
        <f t="shared" si="4"/>
        <v>2.4504354402335563E-2</v>
      </c>
      <c r="R39" s="667">
        <v>0.4322966250764449</v>
      </c>
      <c r="S39" s="666">
        <v>0.43926607650153893</v>
      </c>
      <c r="T39" s="666">
        <v>0.56790094587284767</v>
      </c>
      <c r="U39" s="666">
        <v>0.59179641982140629</v>
      </c>
      <c r="V39" s="631">
        <f t="shared" si="5"/>
        <v>0.95458036924452949</v>
      </c>
      <c r="W39" s="632">
        <f t="shared" si="6"/>
        <v>2.5829322167617678E-2</v>
      </c>
      <c r="X39" s="113">
        <f t="shared" si="7"/>
        <v>2.5033353424935921E-2</v>
      </c>
      <c r="Y39" s="668">
        <v>71.568899422918378</v>
      </c>
      <c r="Z39" s="669">
        <v>68.191964056482675</v>
      </c>
      <c r="AA39" s="669">
        <v>90.06116622855366</v>
      </c>
      <c r="AB39" s="669">
        <v>100.1120523950317</v>
      </c>
      <c r="AC39" s="631">
        <f t="shared" si="8"/>
        <v>1.0742332216255097</v>
      </c>
      <c r="AD39" s="632">
        <f t="shared" si="9"/>
        <v>2.5188478279675273E-2</v>
      </c>
      <c r="AE39" s="113">
        <f t="shared" si="10"/>
        <v>2.5226068669961622E-2</v>
      </c>
      <c r="AF39" s="668">
        <v>4.104999416812201</v>
      </c>
      <c r="AG39" s="669">
        <v>4.1136964231161048</v>
      </c>
      <c r="AH39" s="669">
        <v>5.6233045279945362</v>
      </c>
      <c r="AI39" s="669">
        <v>6.0689692431421438</v>
      </c>
      <c r="AJ39" s="631">
        <f t="shared" si="11"/>
        <v>1.0986857066039803</v>
      </c>
      <c r="AK39" s="632">
        <f t="shared" si="12"/>
        <v>2.4627880391614915E-2</v>
      </c>
      <c r="AL39" s="113">
        <f t="shared" si="13"/>
        <v>2.4664877475568302E-2</v>
      </c>
      <c r="AM39" s="668">
        <v>9.4957933481120662</v>
      </c>
      <c r="AN39" s="669">
        <v>9.3649308316247648</v>
      </c>
      <c r="AO39" s="669">
        <v>9.9019108329740089</v>
      </c>
      <c r="AP39" s="669">
        <v>10.255163836532926</v>
      </c>
      <c r="AQ39" s="631">
        <f t="shared" si="14"/>
        <v>1.1567680100553506</v>
      </c>
      <c r="AR39" s="632">
        <f t="shared" si="15"/>
        <v>2.3391293617226694E-2</v>
      </c>
      <c r="AS39" s="115">
        <f t="shared" si="16"/>
        <v>2.353367283797058E-2</v>
      </c>
      <c r="AT39" s="628"/>
      <c r="AU39" s="635">
        <f t="shared" si="17"/>
        <v>4.9008708804671132E-3</v>
      </c>
      <c r="AV39" s="636">
        <f t="shared" si="18"/>
        <v>5.0066706849871846E-3</v>
      </c>
      <c r="AW39" s="636">
        <f t="shared" si="19"/>
        <v>5.045213733992325E-3</v>
      </c>
      <c r="AX39" s="636">
        <f t="shared" si="20"/>
        <v>4.932975495113661E-3</v>
      </c>
      <c r="AY39" s="637">
        <f t="shared" si="21"/>
        <v>4.7067345675941164E-3</v>
      </c>
      <c r="AZ39" s="638">
        <f t="shared" si="41"/>
        <v>-9.1130440292004566E-2</v>
      </c>
      <c r="BA39" s="639">
        <f t="shared" si="22"/>
        <v>620964.20289550023</v>
      </c>
      <c r="BB39" s="640">
        <f t="shared" si="22"/>
        <v>634369.55326744146</v>
      </c>
      <c r="BC39" s="640">
        <f t="shared" si="22"/>
        <v>639253.14524249837</v>
      </c>
      <c r="BD39" s="640">
        <f t="shared" si="22"/>
        <v>625032.01388858655</v>
      </c>
      <c r="BE39" s="640">
        <f t="shared" si="22"/>
        <v>596366.18680478411</v>
      </c>
      <c r="BF39" s="641">
        <f t="shared" si="23"/>
        <v>3115985.102098811</v>
      </c>
      <c r="BH39" s="642">
        <v>14322731</v>
      </c>
      <c r="BI39" s="643">
        <f t="shared" si="24"/>
        <v>0.21755523454980835</v>
      </c>
      <c r="BJ39" s="644">
        <f t="shared" si="25"/>
        <v>3115985.102098811</v>
      </c>
      <c r="BK39" s="645">
        <f t="shared" si="26"/>
        <v>0</v>
      </c>
      <c r="BM39" s="646">
        <f t="shared" si="27"/>
        <v>3115985.102098811</v>
      </c>
      <c r="BN39" s="647">
        <f t="shared" si="28"/>
        <v>2.6906237781164195E-2</v>
      </c>
      <c r="BO39" s="648">
        <f t="shared" si="29"/>
        <v>77357.623660233803</v>
      </c>
      <c r="BP39" s="648">
        <f t="shared" si="42"/>
        <v>3193342.7257590448</v>
      </c>
      <c r="BQ39" s="649">
        <f t="shared" si="43"/>
        <v>0.22295627319671402</v>
      </c>
      <c r="BR39" s="142">
        <f t="shared" si="30"/>
        <v>0</v>
      </c>
      <c r="BS39" s="548"/>
      <c r="BT39" s="650">
        <f t="shared" si="31"/>
        <v>14322731</v>
      </c>
      <c r="BU39" s="186">
        <f t="shared" si="44"/>
        <v>0.22295627319671402</v>
      </c>
      <c r="BV39" s="651">
        <f t="shared" si="32"/>
        <v>3193342.7257590448</v>
      </c>
      <c r="BW39" s="652">
        <f t="shared" si="33"/>
        <v>0</v>
      </c>
      <c r="BY39" s="646">
        <f t="shared" si="45"/>
        <v>3193342.7257590448</v>
      </c>
      <c r="BZ39" s="653">
        <f t="shared" si="34"/>
        <v>2.6906237781164192E-2</v>
      </c>
      <c r="CA39" s="654">
        <f t="shared" si="35"/>
        <v>0</v>
      </c>
      <c r="CB39" s="655">
        <f t="shared" si="46"/>
        <v>3193342.7257590448</v>
      </c>
      <c r="CC39" s="190">
        <f t="shared" si="47"/>
        <v>0.22295627319671402</v>
      </c>
      <c r="CD39" s="656">
        <f t="shared" si="36"/>
        <v>0</v>
      </c>
      <c r="CE39" s="657"/>
      <c r="CF39" s="658">
        <f t="shared" si="37"/>
        <v>4296819.3</v>
      </c>
      <c r="CG39" s="654">
        <f t="shared" si="38"/>
        <v>0</v>
      </c>
      <c r="CH39" s="659">
        <f t="shared" si="39"/>
        <v>3193342.7257590448</v>
      </c>
      <c r="CI39" s="660">
        <f t="shared" si="40"/>
        <v>0.22295627319671402</v>
      </c>
      <c r="CL39" s="661">
        <v>0</v>
      </c>
      <c r="CM39" s="662">
        <f t="shared" si="48"/>
        <v>3193342.7257590448</v>
      </c>
      <c r="CN39" s="663">
        <f t="shared" si="49"/>
        <v>0.22295627319671402</v>
      </c>
    </row>
    <row r="40" spans="1:92">
      <c r="A40" s="664" t="s">
        <v>226</v>
      </c>
      <c r="B40" s="626" t="s">
        <v>51</v>
      </c>
      <c r="C40" s="27"/>
      <c r="D40" s="627">
        <v>744369</v>
      </c>
      <c r="E40" s="175">
        <v>28456</v>
      </c>
      <c r="F40" s="175">
        <v>18710.25</v>
      </c>
      <c r="G40" s="175">
        <v>231250</v>
      </c>
      <c r="H40" s="191">
        <f t="shared" si="0"/>
        <v>1.5652098840268792E-3</v>
      </c>
      <c r="I40" s="110">
        <f t="shared" si="1"/>
        <v>1.5652098840268794E-3</v>
      </c>
      <c r="J40" s="628"/>
      <c r="K40" s="629">
        <v>2.0660778541053322</v>
      </c>
      <c r="L40" s="630">
        <v>1.5442640125720273</v>
      </c>
      <c r="M40" s="630">
        <v>1.4436910689691704</v>
      </c>
      <c r="N40" s="630">
        <v>1.5208775938322576</v>
      </c>
      <c r="O40" s="631">
        <f t="shared" si="2"/>
        <v>0.78444065442179911</v>
      </c>
      <c r="P40" s="632">
        <f t="shared" si="3"/>
        <v>1.2278142657335136E-3</v>
      </c>
      <c r="Q40" s="113">
        <f t="shared" si="4"/>
        <v>1.1884250210805513E-3</v>
      </c>
      <c r="R40" s="633">
        <v>0.17929853281414856</v>
      </c>
      <c r="S40" s="630">
        <v>0.13392938268912755</v>
      </c>
      <c r="T40" s="630">
        <v>0.11958963737845332</v>
      </c>
      <c r="U40" s="630">
        <v>0.12305297297297298</v>
      </c>
      <c r="V40" s="631">
        <f t="shared" si="5"/>
        <v>0.76729798078618916</v>
      </c>
      <c r="W40" s="632">
        <f t="shared" si="6"/>
        <v>1.2009823835204098E-3</v>
      </c>
      <c r="X40" s="113">
        <f t="shared" si="7"/>
        <v>1.163972336118076E-3</v>
      </c>
      <c r="Y40" s="633">
        <v>43.551303020390364</v>
      </c>
      <c r="Z40" s="630">
        <v>41.282399161864852</v>
      </c>
      <c r="AA40" s="630">
        <v>39.012660239432144</v>
      </c>
      <c r="AB40" s="630">
        <v>39.784022126909051</v>
      </c>
      <c r="AC40" s="631">
        <f t="shared" si="8"/>
        <v>0.92869241192469454</v>
      </c>
      <c r="AD40" s="632">
        <f t="shared" si="9"/>
        <v>1.6853910551320394E-3</v>
      </c>
      <c r="AE40" s="113">
        <f t="shared" si="10"/>
        <v>1.6879062728773946E-3</v>
      </c>
      <c r="AF40" s="633">
        <v>3.7794726458078038</v>
      </c>
      <c r="AG40" s="630">
        <v>3.5802985698449907</v>
      </c>
      <c r="AH40" s="630">
        <v>3.2316539123108785</v>
      </c>
      <c r="AI40" s="630">
        <v>3.2188929729729732</v>
      </c>
      <c r="AJ40" s="631">
        <f t="shared" si="11"/>
        <v>0.91256401539541976</v>
      </c>
      <c r="AK40" s="632">
        <f t="shared" si="12"/>
        <v>1.7151781766769141E-3</v>
      </c>
      <c r="AL40" s="113">
        <f t="shared" si="13"/>
        <v>1.7177547926904926E-3</v>
      </c>
      <c r="AM40" s="633">
        <v>21.079216803884314</v>
      </c>
      <c r="AN40" s="630">
        <v>26.732734056987788</v>
      </c>
      <c r="AO40" s="630">
        <v>27.022859029867174</v>
      </c>
      <c r="AP40" s="630">
        <v>26.158595726736014</v>
      </c>
      <c r="AQ40" s="634">
        <f t="shared" si="14"/>
        <v>1.2360109324116764</v>
      </c>
      <c r="AR40" s="632">
        <f t="shared" si="15"/>
        <v>1.2663398380893586E-3</v>
      </c>
      <c r="AS40" s="115">
        <f t="shared" si="16"/>
        <v>1.2740478546828197E-3</v>
      </c>
      <c r="AT40" s="628"/>
      <c r="AU40" s="635">
        <f t="shared" si="17"/>
        <v>2.3768500421611027E-4</v>
      </c>
      <c r="AV40" s="636">
        <f t="shared" si="18"/>
        <v>2.3279446722361519E-4</v>
      </c>
      <c r="AW40" s="636">
        <f t="shared" si="19"/>
        <v>3.3758125457547896E-4</v>
      </c>
      <c r="AX40" s="636">
        <f t="shared" si="20"/>
        <v>3.4355095853809853E-4</v>
      </c>
      <c r="AY40" s="637">
        <f t="shared" si="21"/>
        <v>2.5480957093656397E-4</v>
      </c>
      <c r="AZ40" s="638">
        <f t="shared" si="41"/>
        <v>-0.10144877703461108</v>
      </c>
      <c r="BA40" s="639">
        <f t="shared" si="22"/>
        <v>30115.8473224667</v>
      </c>
      <c r="BB40" s="640">
        <f t="shared" si="22"/>
        <v>29496.192473492956</v>
      </c>
      <c r="BC40" s="640">
        <f t="shared" si="22"/>
        <v>42773.188637841711</v>
      </c>
      <c r="BD40" s="640">
        <f t="shared" si="22"/>
        <v>43529.579196394203</v>
      </c>
      <c r="BE40" s="640">
        <f t="shared" si="22"/>
        <v>32285.613305463547</v>
      </c>
      <c r="BF40" s="641">
        <f t="shared" si="23"/>
        <v>178200.42093565912</v>
      </c>
      <c r="BH40" s="642">
        <v>744369</v>
      </c>
      <c r="BI40" s="643">
        <f t="shared" si="24"/>
        <v>0.23939796113978298</v>
      </c>
      <c r="BJ40" s="644">
        <f t="shared" si="25"/>
        <v>178200.42093565912</v>
      </c>
      <c r="BK40" s="645">
        <f t="shared" si="26"/>
        <v>0</v>
      </c>
      <c r="BM40" s="646">
        <f t="shared" si="27"/>
        <v>178200.42093565912</v>
      </c>
      <c r="BN40" s="647">
        <f t="shared" si="28"/>
        <v>1.5387438454596146E-3</v>
      </c>
      <c r="BO40" s="648">
        <f t="shared" si="29"/>
        <v>4424.0138021041239</v>
      </c>
      <c r="BP40" s="648">
        <f t="shared" si="42"/>
        <v>182624.43473776325</v>
      </c>
      <c r="BQ40" s="649">
        <f t="shared" si="43"/>
        <v>0.24534126856137647</v>
      </c>
      <c r="BR40" s="142">
        <f t="shared" si="30"/>
        <v>0</v>
      </c>
      <c r="BS40" s="548"/>
      <c r="BT40" s="650">
        <f t="shared" si="31"/>
        <v>744369</v>
      </c>
      <c r="BU40" s="186">
        <f t="shared" si="44"/>
        <v>0.24534126856137647</v>
      </c>
      <c r="BV40" s="651">
        <f t="shared" si="32"/>
        <v>182624.43473776325</v>
      </c>
      <c r="BW40" s="652">
        <f t="shared" si="33"/>
        <v>0</v>
      </c>
      <c r="BY40" s="646">
        <f t="shared" si="45"/>
        <v>182624.43473776325</v>
      </c>
      <c r="BZ40" s="653">
        <f t="shared" si="34"/>
        <v>1.5387438454596146E-3</v>
      </c>
      <c r="CA40" s="654">
        <f t="shared" si="35"/>
        <v>0</v>
      </c>
      <c r="CB40" s="655">
        <f t="shared" si="46"/>
        <v>182624.43473776325</v>
      </c>
      <c r="CC40" s="190">
        <f t="shared" si="47"/>
        <v>0.24534126856137647</v>
      </c>
      <c r="CD40" s="656">
        <f t="shared" si="36"/>
        <v>0</v>
      </c>
      <c r="CE40" s="657"/>
      <c r="CF40" s="658">
        <f t="shared" si="37"/>
        <v>223310.69999999998</v>
      </c>
      <c r="CG40" s="654">
        <f t="shared" si="38"/>
        <v>0</v>
      </c>
      <c r="CH40" s="659">
        <f t="shared" si="39"/>
        <v>182624.43473776325</v>
      </c>
      <c r="CI40" s="660">
        <f t="shared" si="40"/>
        <v>0.24534126856137647</v>
      </c>
      <c r="CL40" s="661">
        <v>0</v>
      </c>
      <c r="CM40" s="662">
        <f t="shared" si="48"/>
        <v>182624.43473776325</v>
      </c>
      <c r="CN40" s="663">
        <f t="shared" si="49"/>
        <v>0.24534126856137647</v>
      </c>
    </row>
    <row r="41" spans="1:92">
      <c r="A41" s="664" t="s">
        <v>227</v>
      </c>
      <c r="B41" s="626" t="s">
        <v>25</v>
      </c>
      <c r="C41" s="27"/>
      <c r="D41" s="627">
        <v>2428469</v>
      </c>
      <c r="E41" s="175">
        <v>212642</v>
      </c>
      <c r="F41" s="175">
        <v>36534.629999999997</v>
      </c>
      <c r="G41" s="175">
        <v>705618.94</v>
      </c>
      <c r="H41" s="191">
        <f t="shared" si="0"/>
        <v>5.1859661952151455E-3</v>
      </c>
      <c r="I41" s="110">
        <f t="shared" si="1"/>
        <v>5.1859661952151463E-3</v>
      </c>
      <c r="J41" s="628"/>
      <c r="K41" s="629">
        <v>4.4820247253569612</v>
      </c>
      <c r="L41" s="630">
        <v>4.4056907707718551</v>
      </c>
      <c r="M41" s="630">
        <v>5.2133876816389186</v>
      </c>
      <c r="N41" s="630">
        <v>5.8202861230563991</v>
      </c>
      <c r="O41" s="631">
        <f t="shared" si="2"/>
        <v>0.93497400249378815</v>
      </c>
      <c r="P41" s="632">
        <f t="shared" si="3"/>
        <v>4.8487435703377874E-3</v>
      </c>
      <c r="Q41" s="113">
        <f t="shared" si="4"/>
        <v>4.6931920735994647E-3</v>
      </c>
      <c r="R41" s="633">
        <v>0.24753017027607868</v>
      </c>
      <c r="S41" s="630">
        <v>0.22914428374898088</v>
      </c>
      <c r="T41" s="630">
        <v>0.26595741807949275</v>
      </c>
      <c r="U41" s="630">
        <v>0.30135528958448876</v>
      </c>
      <c r="V41" s="631">
        <f t="shared" si="5"/>
        <v>0.92190780884659318</v>
      </c>
      <c r="W41" s="632">
        <f t="shared" si="6"/>
        <v>4.7809827317832993E-3</v>
      </c>
      <c r="X41" s="113">
        <f t="shared" si="7"/>
        <v>4.6336496818060241E-3</v>
      </c>
      <c r="Y41" s="633">
        <v>68.510851019247468</v>
      </c>
      <c r="Z41" s="630">
        <v>68.297046322116032</v>
      </c>
      <c r="AA41" s="630">
        <v>80.659776077922771</v>
      </c>
      <c r="AB41" s="630">
        <v>92.151528563447897</v>
      </c>
      <c r="AC41" s="631">
        <f t="shared" si="8"/>
        <v>1.0561797921469089</v>
      </c>
      <c r="AD41" s="632">
        <f t="shared" si="9"/>
        <v>4.9101168511031367E-3</v>
      </c>
      <c r="AE41" s="113">
        <f t="shared" si="10"/>
        <v>4.9174445350836917E-3</v>
      </c>
      <c r="AF41" s="633">
        <v>3.7836700281038187</v>
      </c>
      <c r="AG41" s="630">
        <v>3.5521961426517614</v>
      </c>
      <c r="AH41" s="630">
        <v>4.1148034826005002</v>
      </c>
      <c r="AI41" s="630">
        <v>4.7713033326458048</v>
      </c>
      <c r="AJ41" s="631">
        <f t="shared" si="11"/>
        <v>1.0398241904816219</v>
      </c>
      <c r="AK41" s="632">
        <f t="shared" si="12"/>
        <v>4.9873490563949376E-3</v>
      </c>
      <c r="AL41" s="113">
        <f t="shared" si="13"/>
        <v>4.9948412712672785E-3</v>
      </c>
      <c r="AM41" s="633">
        <v>15.285692341599267</v>
      </c>
      <c r="AN41" s="630">
        <v>15.502006353966314</v>
      </c>
      <c r="AO41" s="630">
        <v>15.471662765844025</v>
      </c>
      <c r="AP41" s="630">
        <v>15.832817599533488</v>
      </c>
      <c r="AQ41" s="634">
        <f t="shared" si="14"/>
        <v>1.1428923483074012</v>
      </c>
      <c r="AR41" s="632">
        <f t="shared" si="15"/>
        <v>4.537580641689876E-3</v>
      </c>
      <c r="AS41" s="115">
        <f t="shared" si="16"/>
        <v>4.5652001999066374E-3</v>
      </c>
      <c r="AT41" s="628"/>
      <c r="AU41" s="635">
        <f t="shared" si="17"/>
        <v>9.3863841471989297E-4</v>
      </c>
      <c r="AV41" s="636">
        <f t="shared" si="18"/>
        <v>9.2672993636120488E-4</v>
      </c>
      <c r="AW41" s="636">
        <f t="shared" si="19"/>
        <v>9.8348890701673844E-4</v>
      </c>
      <c r="AX41" s="636">
        <f t="shared" si="20"/>
        <v>9.9896825425345578E-4</v>
      </c>
      <c r="AY41" s="637">
        <f t="shared" si="21"/>
        <v>9.1304003998132755E-4</v>
      </c>
      <c r="AZ41" s="638">
        <f t="shared" si="41"/>
        <v>-8.1971348612867534E-2</v>
      </c>
      <c r="BA41" s="639">
        <f t="shared" si="22"/>
        <v>118930.05737545171</v>
      </c>
      <c r="BB41" s="640">
        <f t="shared" si="22"/>
        <v>117421.1951850248</v>
      </c>
      <c r="BC41" s="640">
        <f t="shared" si="22"/>
        <v>124612.83312650902</v>
      </c>
      <c r="BD41" s="640">
        <f t="shared" si="22"/>
        <v>126574.14179034281</v>
      </c>
      <c r="BE41" s="640">
        <f t="shared" si="22"/>
        <v>115686.61865758887</v>
      </c>
      <c r="BF41" s="641">
        <f t="shared" si="23"/>
        <v>603224.84613491723</v>
      </c>
      <c r="BH41" s="642">
        <v>3366722</v>
      </c>
      <c r="BI41" s="643">
        <f t="shared" si="24"/>
        <v>0.17917275205226843</v>
      </c>
      <c r="BJ41" s="644">
        <f t="shared" si="25"/>
        <v>603224.84613491723</v>
      </c>
      <c r="BK41" s="645">
        <f t="shared" si="26"/>
        <v>0</v>
      </c>
      <c r="BM41" s="646">
        <f t="shared" si="27"/>
        <v>603224.84613491723</v>
      </c>
      <c r="BN41" s="647">
        <f t="shared" si="28"/>
        <v>5.2087897129803355E-3</v>
      </c>
      <c r="BO41" s="648">
        <f t="shared" si="29"/>
        <v>14975.694395450162</v>
      </c>
      <c r="BP41" s="648">
        <f t="shared" si="42"/>
        <v>618200.54053036741</v>
      </c>
      <c r="BQ41" s="649">
        <f t="shared" si="43"/>
        <v>0.18362090500206651</v>
      </c>
      <c r="BR41" s="142">
        <f t="shared" si="30"/>
        <v>0</v>
      </c>
      <c r="BS41" s="548"/>
      <c r="BT41" s="650">
        <f t="shared" si="31"/>
        <v>3366722</v>
      </c>
      <c r="BU41" s="186">
        <f t="shared" si="44"/>
        <v>0.18362090500206651</v>
      </c>
      <c r="BV41" s="651">
        <f t="shared" si="32"/>
        <v>618200.54053036741</v>
      </c>
      <c r="BW41" s="652">
        <f t="shared" si="33"/>
        <v>0</v>
      </c>
      <c r="BY41" s="646">
        <f t="shared" si="45"/>
        <v>618200.54053036741</v>
      </c>
      <c r="BZ41" s="653">
        <f t="shared" si="34"/>
        <v>5.2087897129803355E-3</v>
      </c>
      <c r="CA41" s="654">
        <f t="shared" si="35"/>
        <v>0</v>
      </c>
      <c r="CB41" s="655">
        <f t="shared" si="46"/>
        <v>618200.54053036741</v>
      </c>
      <c r="CC41" s="190">
        <f t="shared" si="47"/>
        <v>0.18362090500206651</v>
      </c>
      <c r="CD41" s="656">
        <f t="shared" si="36"/>
        <v>0</v>
      </c>
      <c r="CE41" s="657"/>
      <c r="CF41" s="658">
        <f t="shared" si="37"/>
        <v>1010016.6</v>
      </c>
      <c r="CG41" s="654">
        <f t="shared" si="38"/>
        <v>0</v>
      </c>
      <c r="CH41" s="659">
        <f t="shared" si="39"/>
        <v>618200.54053036741</v>
      </c>
      <c r="CI41" s="660">
        <f t="shared" si="40"/>
        <v>0.18362090500206651</v>
      </c>
      <c r="CL41" s="661">
        <v>0</v>
      </c>
      <c r="CM41" s="662">
        <f t="shared" si="48"/>
        <v>618200.54053036741</v>
      </c>
      <c r="CN41" s="663">
        <f t="shared" si="49"/>
        <v>0.18362090500206651</v>
      </c>
    </row>
    <row r="42" spans="1:92">
      <c r="A42" s="664" t="s">
        <v>227</v>
      </c>
      <c r="B42" s="626" t="s">
        <v>28</v>
      </c>
      <c r="C42" s="27"/>
      <c r="D42" s="627">
        <v>7144704</v>
      </c>
      <c r="E42" s="175">
        <v>1877126</v>
      </c>
      <c r="F42" s="175">
        <v>76614</v>
      </c>
      <c r="G42" s="175">
        <v>768657</v>
      </c>
      <c r="H42" s="191">
        <f t="shared" si="0"/>
        <v>1.968904179645465E-2</v>
      </c>
      <c r="I42" s="110">
        <f t="shared" si="1"/>
        <v>1.9689041796454653E-2</v>
      </c>
      <c r="J42" s="628"/>
      <c r="K42" s="629">
        <v>6.5232631919715116</v>
      </c>
      <c r="L42" s="630">
        <v>18.24961092626382</v>
      </c>
      <c r="M42" s="630">
        <v>21.145138445302301</v>
      </c>
      <c r="N42" s="630">
        <v>24.501083352912001</v>
      </c>
      <c r="O42" s="631">
        <f t="shared" si="2"/>
        <v>1.4130477342171865</v>
      </c>
      <c r="P42" s="632">
        <f t="shared" si="3"/>
        <v>2.7821555899387732E-2</v>
      </c>
      <c r="Q42" s="113">
        <f t="shared" si="4"/>
        <v>2.6929018564929932E-2</v>
      </c>
      <c r="R42" s="633">
        <v>0.66929775146545356</v>
      </c>
      <c r="S42" s="630">
        <v>1.8049204125068334</v>
      </c>
      <c r="T42" s="630">
        <v>2.1042721223804488</v>
      </c>
      <c r="U42" s="630">
        <v>2.4420853514636569</v>
      </c>
      <c r="V42" s="631">
        <f t="shared" si="5"/>
        <v>1.4013283640407588</v>
      </c>
      <c r="W42" s="632">
        <f t="shared" si="6"/>
        <v>2.7590812730155921E-2</v>
      </c>
      <c r="X42" s="113">
        <f t="shared" si="7"/>
        <v>2.6740561052009941E-2</v>
      </c>
      <c r="Y42" s="633">
        <v>76.682473292327614</v>
      </c>
      <c r="Z42" s="630">
        <v>79.970349898035849</v>
      </c>
      <c r="AA42" s="630">
        <v>91.352487016413477</v>
      </c>
      <c r="AB42" s="630">
        <v>97.052784086459397</v>
      </c>
      <c r="AC42" s="631">
        <f t="shared" si="8"/>
        <v>1.0338380562910368</v>
      </c>
      <c r="AD42" s="632">
        <f t="shared" si="9"/>
        <v>1.9044609237050539E-2</v>
      </c>
      <c r="AE42" s="113">
        <f t="shared" si="10"/>
        <v>1.9073030735408756E-2</v>
      </c>
      <c r="AF42" s="633">
        <v>7.8677504557122129</v>
      </c>
      <c r="AG42" s="630">
        <v>7.9092161202490328</v>
      </c>
      <c r="AH42" s="630">
        <v>9.0910018033704372</v>
      </c>
      <c r="AI42" s="630">
        <v>9.6734980622045992</v>
      </c>
      <c r="AJ42" s="631">
        <f t="shared" si="11"/>
        <v>1.0288308715377539</v>
      </c>
      <c r="AK42" s="632">
        <f t="shared" si="12"/>
        <v>1.9137296849409464E-2</v>
      </c>
      <c r="AL42" s="113">
        <f t="shared" si="13"/>
        <v>1.9166045737536254E-2</v>
      </c>
      <c r="AM42" s="633">
        <v>11.755232164586637</v>
      </c>
      <c r="AN42" s="630">
        <v>4.3820304016973317</v>
      </c>
      <c r="AO42" s="630">
        <v>4.3202595836731801</v>
      </c>
      <c r="AP42" s="630">
        <v>3.9611629693478223</v>
      </c>
      <c r="AQ42" s="634">
        <f t="shared" si="14"/>
        <v>0.83032174110192136</v>
      </c>
      <c r="AR42" s="632">
        <f t="shared" si="15"/>
        <v>2.3712545175952268E-2</v>
      </c>
      <c r="AS42" s="115">
        <f t="shared" si="16"/>
        <v>2.3856879805718958E-2</v>
      </c>
      <c r="AT42" s="628"/>
      <c r="AU42" s="635">
        <f t="shared" si="17"/>
        <v>5.3858037129859869E-3</v>
      </c>
      <c r="AV42" s="636">
        <f t="shared" si="18"/>
        <v>5.3481122104019887E-3</v>
      </c>
      <c r="AW42" s="636">
        <f t="shared" si="19"/>
        <v>3.8146061470817512E-3</v>
      </c>
      <c r="AX42" s="636">
        <f t="shared" si="20"/>
        <v>3.833209147507251E-3</v>
      </c>
      <c r="AY42" s="637">
        <f t="shared" si="21"/>
        <v>4.7713759611437917E-3</v>
      </c>
      <c r="AZ42" s="638">
        <f t="shared" si="41"/>
        <v>0.17593874899945006</v>
      </c>
      <c r="BA42" s="639">
        <f t="shared" si="22"/>
        <v>682407.55391360307</v>
      </c>
      <c r="BB42" s="640">
        <f t="shared" si="22"/>
        <v>677631.85701628437</v>
      </c>
      <c r="BC42" s="640">
        <f t="shared" si="22"/>
        <v>483329.17215258803</v>
      </c>
      <c r="BD42" s="640">
        <f t="shared" si="22"/>
        <v>485686.26288450789</v>
      </c>
      <c r="BE42" s="640">
        <f t="shared" si="22"/>
        <v>604556.56610647321</v>
      </c>
      <c r="BF42" s="641">
        <f t="shared" si="23"/>
        <v>2933611.4120734567</v>
      </c>
      <c r="BH42" s="642">
        <v>7435602</v>
      </c>
      <c r="BI42" s="643">
        <f t="shared" si="24"/>
        <v>0.39453583073347076</v>
      </c>
      <c r="BJ42" s="644">
        <f t="shared" si="25"/>
        <v>2230680.6</v>
      </c>
      <c r="BK42" s="645">
        <f t="shared" si="26"/>
        <v>702930.81207345659</v>
      </c>
      <c r="BM42" s="646">
        <f t="shared" si="27"/>
        <v>0</v>
      </c>
      <c r="BN42" s="647">
        <f t="shared" si="28"/>
        <v>0</v>
      </c>
      <c r="BO42" s="648">
        <f t="shared" si="29"/>
        <v>0</v>
      </c>
      <c r="BP42" s="648">
        <f t="shared" si="42"/>
        <v>2230680.6</v>
      </c>
      <c r="BQ42" s="649">
        <f t="shared" si="43"/>
        <v>0.3</v>
      </c>
      <c r="BR42" s="142">
        <f t="shared" si="30"/>
        <v>0</v>
      </c>
      <c r="BS42" s="548"/>
      <c r="BT42" s="650">
        <f t="shared" si="31"/>
        <v>7435602</v>
      </c>
      <c r="BU42" s="186">
        <f t="shared" si="44"/>
        <v>0.3</v>
      </c>
      <c r="BV42" s="651">
        <f t="shared" si="32"/>
        <v>2230680.6</v>
      </c>
      <c r="BW42" s="652">
        <f t="shared" si="33"/>
        <v>0</v>
      </c>
      <c r="BY42" s="646">
        <f t="shared" si="45"/>
        <v>0</v>
      </c>
      <c r="BZ42" s="653">
        <f t="shared" si="34"/>
        <v>0</v>
      </c>
      <c r="CA42" s="654">
        <f t="shared" si="35"/>
        <v>0</v>
      </c>
      <c r="CB42" s="655">
        <f t="shared" si="46"/>
        <v>2230680.6</v>
      </c>
      <c r="CC42" s="190">
        <f t="shared" si="47"/>
        <v>0.3</v>
      </c>
      <c r="CD42" s="656">
        <f t="shared" si="36"/>
        <v>0</v>
      </c>
      <c r="CE42" s="657"/>
      <c r="CF42" s="658">
        <f t="shared" si="37"/>
        <v>2230680.6</v>
      </c>
      <c r="CG42" s="654">
        <f t="shared" si="38"/>
        <v>0</v>
      </c>
      <c r="CH42" s="659">
        <f t="shared" si="39"/>
        <v>2230680.6</v>
      </c>
      <c r="CI42" s="660">
        <f t="shared" si="40"/>
        <v>0.3</v>
      </c>
      <c r="CL42" s="661">
        <v>0</v>
      </c>
      <c r="CM42" s="662">
        <f t="shared" si="48"/>
        <v>2230680.6</v>
      </c>
      <c r="CN42" s="663">
        <f t="shared" si="49"/>
        <v>0.3</v>
      </c>
    </row>
    <row r="43" spans="1:92">
      <c r="A43" s="664" t="s">
        <v>227</v>
      </c>
      <c r="B43" s="626" t="s">
        <v>32</v>
      </c>
      <c r="C43" s="27"/>
      <c r="D43" s="627">
        <v>2376491</v>
      </c>
      <c r="E43" s="175">
        <v>181306</v>
      </c>
      <c r="F43" s="175">
        <v>25268</v>
      </c>
      <c r="G43" s="175">
        <v>331246</v>
      </c>
      <c r="H43" s="176">
        <f t="shared" si="0"/>
        <v>4.1554540439166163E-3</v>
      </c>
      <c r="I43" s="110">
        <f t="shared" si="1"/>
        <v>4.1554540439166171E-3</v>
      </c>
      <c r="J43" s="628"/>
      <c r="K43" s="629">
        <v>5.1692512721104915</v>
      </c>
      <c r="L43" s="630">
        <v>7.7540727902946278</v>
      </c>
      <c r="M43" s="630">
        <v>8.9334289529650324</v>
      </c>
      <c r="N43" s="630">
        <v>7.1753205635586514</v>
      </c>
      <c r="O43" s="631">
        <f t="shared" si="2"/>
        <v>0.9631888761247418</v>
      </c>
      <c r="P43" s="632">
        <f t="shared" si="3"/>
        <v>4.0024871103480596E-3</v>
      </c>
      <c r="Q43" s="113">
        <f t="shared" si="4"/>
        <v>3.87408418458824E-3</v>
      </c>
      <c r="R43" s="633">
        <v>0.48672727894958989</v>
      </c>
      <c r="S43" s="630">
        <v>0.72460145651246777</v>
      </c>
      <c r="T43" s="630">
        <v>0.79643813026090104</v>
      </c>
      <c r="U43" s="630">
        <v>0.54734547737934947</v>
      </c>
      <c r="V43" s="631">
        <f t="shared" si="5"/>
        <v>0.91548196708866847</v>
      </c>
      <c r="W43" s="632">
        <f t="shared" si="6"/>
        <v>3.8042432422713468E-3</v>
      </c>
      <c r="X43" s="113">
        <f t="shared" si="7"/>
        <v>3.6870098634487858E-3</v>
      </c>
      <c r="Y43" s="633">
        <v>76.918100314998782</v>
      </c>
      <c r="Z43" s="630">
        <v>82.248006932409012</v>
      </c>
      <c r="AA43" s="630">
        <v>95.121865571986746</v>
      </c>
      <c r="AB43" s="630">
        <v>94.216123159727715</v>
      </c>
      <c r="AC43" s="631">
        <f t="shared" si="8"/>
        <v>1.0237533675916397</v>
      </c>
      <c r="AD43" s="632">
        <f t="shared" si="9"/>
        <v>4.0590382170778531E-3</v>
      </c>
      <c r="AE43" s="113">
        <f t="shared" si="10"/>
        <v>4.0650957815354201E-3</v>
      </c>
      <c r="AF43" s="633">
        <v>7.2424681443287211</v>
      </c>
      <c r="AG43" s="630">
        <v>7.6858996852680619</v>
      </c>
      <c r="AH43" s="630">
        <v>8.480358568020776</v>
      </c>
      <c r="AI43" s="630">
        <v>7.1869637671096402</v>
      </c>
      <c r="AJ43" s="631">
        <f t="shared" si="11"/>
        <v>0.96417599187899372</v>
      </c>
      <c r="AK43" s="632">
        <f t="shared" si="12"/>
        <v>4.3098501507161944E-3</v>
      </c>
      <c r="AL43" s="113">
        <f t="shared" si="13"/>
        <v>4.3163245969664223E-3</v>
      </c>
      <c r="AM43" s="633">
        <v>14.879930625541988</v>
      </c>
      <c r="AN43" s="630">
        <v>10.607071813325586</v>
      </c>
      <c r="AO43" s="630">
        <v>10.647856055363322</v>
      </c>
      <c r="AP43" s="630">
        <v>13.13058034483139</v>
      </c>
      <c r="AQ43" s="634">
        <f t="shared" si="14"/>
        <v>1.0897265159750711</v>
      </c>
      <c r="AR43" s="632">
        <f t="shared" si="15"/>
        <v>3.8132999270907696E-3</v>
      </c>
      <c r="AS43" s="115">
        <f t="shared" si="16"/>
        <v>3.8365108995562711E-3</v>
      </c>
      <c r="AT43" s="628"/>
      <c r="AU43" s="635">
        <f t="shared" si="17"/>
        <v>7.7481683691764803E-4</v>
      </c>
      <c r="AV43" s="636">
        <f t="shared" si="18"/>
        <v>7.3740197268975724E-4</v>
      </c>
      <c r="AW43" s="636">
        <f t="shared" si="19"/>
        <v>8.1301915630708403E-4</v>
      </c>
      <c r="AX43" s="636">
        <f t="shared" si="20"/>
        <v>8.6326491939328447E-4</v>
      </c>
      <c r="AY43" s="637">
        <f t="shared" si="21"/>
        <v>7.6730217991125428E-4</v>
      </c>
      <c r="AZ43" s="638">
        <f t="shared" si="41"/>
        <v>-4.8045045520324237E-2</v>
      </c>
      <c r="BA43" s="639">
        <f t="shared" si="22"/>
        <v>98173.065820644959</v>
      </c>
      <c r="BB43" s="640">
        <f t="shared" si="22"/>
        <v>93432.420349997265</v>
      </c>
      <c r="BC43" s="640">
        <f t="shared" si="22"/>
        <v>103013.4856943796</v>
      </c>
      <c r="BD43" s="640">
        <f t="shared" si="22"/>
        <v>109379.86852402167</v>
      </c>
      <c r="BE43" s="640">
        <f t="shared" si="22"/>
        <v>97220.922189069912</v>
      </c>
      <c r="BF43" s="641">
        <f t="shared" si="23"/>
        <v>501219.76257811347</v>
      </c>
      <c r="BH43" s="642">
        <v>2380653</v>
      </c>
      <c r="BI43" s="643">
        <f t="shared" si="24"/>
        <v>0.21053877342817851</v>
      </c>
      <c r="BJ43" s="644">
        <f t="shared" si="25"/>
        <v>501219.76257811347</v>
      </c>
      <c r="BK43" s="645">
        <f t="shared" si="26"/>
        <v>0</v>
      </c>
      <c r="BM43" s="646">
        <f t="shared" si="27"/>
        <v>501219.76257811347</v>
      </c>
      <c r="BN43" s="647">
        <f t="shared" si="28"/>
        <v>4.3279854269719581E-3</v>
      </c>
      <c r="BO43" s="648">
        <f t="shared" si="29"/>
        <v>12443.310379909481</v>
      </c>
      <c r="BP43" s="648">
        <f t="shared" si="42"/>
        <v>513663.07295802294</v>
      </c>
      <c r="BQ43" s="649">
        <f t="shared" si="43"/>
        <v>0.21576562101155564</v>
      </c>
      <c r="BR43" s="142">
        <f t="shared" si="30"/>
        <v>0</v>
      </c>
      <c r="BS43" s="548"/>
      <c r="BT43" s="650">
        <f t="shared" si="31"/>
        <v>2380653</v>
      </c>
      <c r="BU43" s="186">
        <f t="shared" si="44"/>
        <v>0.21576562101155564</v>
      </c>
      <c r="BV43" s="651">
        <f t="shared" si="32"/>
        <v>513663.07295802294</v>
      </c>
      <c r="BW43" s="652">
        <f t="shared" si="33"/>
        <v>0</v>
      </c>
      <c r="BY43" s="646">
        <f t="shared" si="45"/>
        <v>513663.07295802294</v>
      </c>
      <c r="BZ43" s="653">
        <f t="shared" si="34"/>
        <v>4.3279854269719581E-3</v>
      </c>
      <c r="CA43" s="654">
        <f t="shared" si="35"/>
        <v>0</v>
      </c>
      <c r="CB43" s="655">
        <f t="shared" si="46"/>
        <v>513663.07295802294</v>
      </c>
      <c r="CC43" s="190">
        <f t="shared" si="47"/>
        <v>0.21576562101155564</v>
      </c>
      <c r="CD43" s="656">
        <f t="shared" si="36"/>
        <v>0</v>
      </c>
      <c r="CE43" s="657"/>
      <c r="CF43" s="658">
        <f t="shared" si="37"/>
        <v>714195.9</v>
      </c>
      <c r="CG43" s="654">
        <f t="shared" si="38"/>
        <v>0</v>
      </c>
      <c r="CH43" s="659">
        <f t="shared" si="39"/>
        <v>513663.07295802294</v>
      </c>
      <c r="CI43" s="660">
        <f t="shared" si="40"/>
        <v>0.21576562101155564</v>
      </c>
      <c r="CL43" s="661">
        <v>0</v>
      </c>
      <c r="CM43" s="662">
        <f t="shared" si="48"/>
        <v>513663.07295802294</v>
      </c>
      <c r="CN43" s="663">
        <f t="shared" si="49"/>
        <v>0.21576562101155564</v>
      </c>
    </row>
    <row r="44" spans="1:92">
      <c r="A44" s="664" t="s">
        <v>228</v>
      </c>
      <c r="B44" s="626" t="s">
        <v>24</v>
      </c>
      <c r="C44" s="27"/>
      <c r="D44" s="627">
        <v>5173162</v>
      </c>
      <c r="E44" s="175">
        <v>131277</v>
      </c>
      <c r="F44" s="175">
        <v>61710.71</v>
      </c>
      <c r="G44" s="175">
        <v>1392527</v>
      </c>
      <c r="H44" s="191">
        <f t="shared" si="0"/>
        <v>8.7178182695702485E-3</v>
      </c>
      <c r="I44" s="110">
        <f t="shared" si="1"/>
        <v>8.7178182695702502E-3</v>
      </c>
      <c r="J44" s="628"/>
      <c r="K44" s="629">
        <v>1.944317205840252</v>
      </c>
      <c r="L44" s="630">
        <v>2.0984220777077214</v>
      </c>
      <c r="M44" s="630">
        <v>2.1059981833517161</v>
      </c>
      <c r="N44" s="630">
        <v>2.1272968662976006</v>
      </c>
      <c r="O44" s="631">
        <f t="shared" si="2"/>
        <v>0.87651228790853652</v>
      </c>
      <c r="P44" s="632">
        <f t="shared" si="3"/>
        <v>7.6412748370318587E-3</v>
      </c>
      <c r="Q44" s="113">
        <f t="shared" si="4"/>
        <v>7.3961367469995197E-3</v>
      </c>
      <c r="R44" s="633">
        <v>8.4847547858705061E-2</v>
      </c>
      <c r="S44" s="630">
        <v>9.06701755136681E-2</v>
      </c>
      <c r="T44" s="630">
        <v>9.3205239748349655E-2</v>
      </c>
      <c r="U44" s="630">
        <v>9.4272498845623817E-2</v>
      </c>
      <c r="V44" s="631">
        <f t="shared" si="5"/>
        <v>0.8848941187265198</v>
      </c>
      <c r="W44" s="632">
        <f t="shared" si="6"/>
        <v>7.7143461148693202E-3</v>
      </c>
      <c r="X44" s="113">
        <f t="shared" si="7"/>
        <v>7.4766171362373275E-3</v>
      </c>
      <c r="Y44" s="633">
        <v>69.859111079301456</v>
      </c>
      <c r="Z44" s="630">
        <v>76.546396857359781</v>
      </c>
      <c r="AA44" s="630">
        <v>81.113410757153048</v>
      </c>
      <c r="AB44" s="630">
        <v>94.049687647411616</v>
      </c>
      <c r="AC44" s="631">
        <f t="shared" si="8"/>
        <v>1.0573411582619359</v>
      </c>
      <c r="AD44" s="632">
        <f t="shared" si="9"/>
        <v>8.2450382276810785E-3</v>
      </c>
      <c r="AE44" s="113">
        <f t="shared" si="10"/>
        <v>8.2573428298671689E-3</v>
      </c>
      <c r="AF44" s="633">
        <v>3.0485633994613872</v>
      </c>
      <c r="AG44" s="630">
        <v>3.3074734162048824</v>
      </c>
      <c r="AH44" s="630">
        <v>3.5898392297730726</v>
      </c>
      <c r="AI44" s="630">
        <v>4.1678710717996852</v>
      </c>
      <c r="AJ44" s="631">
        <f t="shared" si="11"/>
        <v>1.0673150531526312</v>
      </c>
      <c r="AK44" s="632">
        <f t="shared" si="12"/>
        <v>8.1679896145187801E-3</v>
      </c>
      <c r="AL44" s="113">
        <f t="shared" si="13"/>
        <v>8.1802599273793873E-3</v>
      </c>
      <c r="AM44" s="633">
        <v>35.929893985128473</v>
      </c>
      <c r="AN44" s="630">
        <v>36.47807448774924</v>
      </c>
      <c r="AO44" s="630">
        <v>38.515422946880371</v>
      </c>
      <c r="AP44" s="630">
        <v>44.210889950257851</v>
      </c>
      <c r="AQ44" s="634">
        <f t="shared" si="14"/>
        <v>1.2071736239215365</v>
      </c>
      <c r="AR44" s="632">
        <f t="shared" si="15"/>
        <v>7.2216772275475825E-3</v>
      </c>
      <c r="AS44" s="115">
        <f t="shared" si="16"/>
        <v>7.2656344704836832E-3</v>
      </c>
      <c r="AT44" s="628"/>
      <c r="AU44" s="635">
        <f t="shared" si="17"/>
        <v>1.479227349399904E-3</v>
      </c>
      <c r="AV44" s="636">
        <f t="shared" si="18"/>
        <v>1.4953234272474655E-3</v>
      </c>
      <c r="AW44" s="636">
        <f t="shared" si="19"/>
        <v>1.6514685659734338E-3</v>
      </c>
      <c r="AX44" s="636">
        <f t="shared" si="20"/>
        <v>1.6360519854758775E-3</v>
      </c>
      <c r="AY44" s="637">
        <f t="shared" si="21"/>
        <v>1.4531268940967366E-3</v>
      </c>
      <c r="AZ44" s="638">
        <f t="shared" si="41"/>
        <v>-0.11500813808845975</v>
      </c>
      <c r="BA44" s="639">
        <f t="shared" si="22"/>
        <v>187425.30752693207</v>
      </c>
      <c r="BB44" s="640">
        <f t="shared" si="22"/>
        <v>189464.75896202115</v>
      </c>
      <c r="BC44" s="640">
        <f t="shared" si="22"/>
        <v>209249.10830928179</v>
      </c>
      <c r="BD44" s="640">
        <f t="shared" si="22"/>
        <v>207295.75249691095</v>
      </c>
      <c r="BE44" s="640">
        <f t="shared" si="22"/>
        <v>184118.25275690388</v>
      </c>
      <c r="BF44" s="641">
        <f t="shared" si="23"/>
        <v>977553.18005204981</v>
      </c>
      <c r="BH44" s="642">
        <v>5803873</v>
      </c>
      <c r="BI44" s="643">
        <f t="shared" si="24"/>
        <v>0.16843118036043342</v>
      </c>
      <c r="BJ44" s="644">
        <f t="shared" si="25"/>
        <v>977553.18005204981</v>
      </c>
      <c r="BK44" s="645">
        <f t="shared" si="26"/>
        <v>0</v>
      </c>
      <c r="BM44" s="646">
        <f t="shared" si="27"/>
        <v>977553.18005204981</v>
      </c>
      <c r="BN44" s="647">
        <f t="shared" si="28"/>
        <v>8.4410796086596927E-3</v>
      </c>
      <c r="BO44" s="648">
        <f t="shared" si="29"/>
        <v>24268.790938504691</v>
      </c>
      <c r="BP44" s="648">
        <f t="shared" si="42"/>
        <v>1001821.9709905545</v>
      </c>
      <c r="BQ44" s="649">
        <f t="shared" si="43"/>
        <v>0.17261266243947007</v>
      </c>
      <c r="BR44" s="142">
        <f t="shared" si="30"/>
        <v>0</v>
      </c>
      <c r="BS44" s="548"/>
      <c r="BT44" s="650">
        <f t="shared" si="31"/>
        <v>5803873</v>
      </c>
      <c r="BU44" s="186">
        <f t="shared" si="44"/>
        <v>0.17261266243947007</v>
      </c>
      <c r="BV44" s="651">
        <f t="shared" si="32"/>
        <v>1001821.9709905545</v>
      </c>
      <c r="BW44" s="652">
        <f t="shared" si="33"/>
        <v>0</v>
      </c>
      <c r="BY44" s="646">
        <f t="shared" si="45"/>
        <v>1001821.9709905545</v>
      </c>
      <c r="BZ44" s="653">
        <f t="shared" si="34"/>
        <v>8.4410796086596945E-3</v>
      </c>
      <c r="CA44" s="654">
        <f t="shared" si="35"/>
        <v>0</v>
      </c>
      <c r="CB44" s="655">
        <f t="shared" si="46"/>
        <v>1001821.9709905545</v>
      </c>
      <c r="CC44" s="190">
        <f t="shared" si="47"/>
        <v>0.17261266243947007</v>
      </c>
      <c r="CD44" s="656">
        <f t="shared" si="36"/>
        <v>0</v>
      </c>
      <c r="CE44" s="657"/>
      <c r="CF44" s="658">
        <f t="shared" si="37"/>
        <v>1741161.9</v>
      </c>
      <c r="CG44" s="654">
        <f t="shared" si="38"/>
        <v>0</v>
      </c>
      <c r="CH44" s="659">
        <f t="shared" si="39"/>
        <v>1001821.9709905545</v>
      </c>
      <c r="CI44" s="660">
        <f t="shared" si="40"/>
        <v>0.17261266243947007</v>
      </c>
      <c r="CL44" s="661">
        <v>0</v>
      </c>
      <c r="CM44" s="662">
        <f t="shared" si="48"/>
        <v>1001821.9709905545</v>
      </c>
      <c r="CN44" s="663">
        <f t="shared" si="49"/>
        <v>0.17261266243947007</v>
      </c>
    </row>
    <row r="45" spans="1:92">
      <c r="A45" s="664" t="s">
        <v>228</v>
      </c>
      <c r="B45" s="626" t="s">
        <v>344</v>
      </c>
      <c r="C45" s="27"/>
      <c r="D45" s="627">
        <v>604843</v>
      </c>
      <c r="E45" s="175">
        <v>28882</v>
      </c>
      <c r="F45" s="175">
        <v>15534</v>
      </c>
      <c r="G45" s="175">
        <v>413556</v>
      </c>
      <c r="H45" s="191">
        <f t="shared" si="0"/>
        <v>1.6532606213554247E-3</v>
      </c>
      <c r="I45" s="110">
        <f t="shared" si="1"/>
        <v>1.6532606213554249E-3</v>
      </c>
      <c r="J45" s="628"/>
      <c r="K45" s="629">
        <v>1.3983089137029627</v>
      </c>
      <c r="L45" s="630">
        <v>1.5445728965960179</v>
      </c>
      <c r="M45" s="630">
        <v>1.8291929463251384</v>
      </c>
      <c r="N45" s="630">
        <v>1.8592764259044676</v>
      </c>
      <c r="O45" s="631">
        <f t="shared" si="2"/>
        <v>0.93575618620058609</v>
      </c>
      <c r="P45" s="632">
        <f t="shared" si="3"/>
        <v>1.5470488538351637E-3</v>
      </c>
      <c r="Q45" s="113">
        <f t="shared" si="4"/>
        <v>1.4974183132115022E-3</v>
      </c>
      <c r="R45" s="633">
        <v>5.2832581392513109E-2</v>
      </c>
      <c r="S45" s="630">
        <v>5.8014121779238044E-2</v>
      </c>
      <c r="T45" s="630">
        <v>6.7953110393320887E-2</v>
      </c>
      <c r="U45" s="630">
        <v>6.9838183946067764E-2</v>
      </c>
      <c r="V45" s="631">
        <f t="shared" si="5"/>
        <v>0.93786015683866342</v>
      </c>
      <c r="W45" s="632">
        <f t="shared" si="6"/>
        <v>1.5505272656395849E-3</v>
      </c>
      <c r="X45" s="113">
        <f t="shared" si="7"/>
        <v>1.5027454760085659E-3</v>
      </c>
      <c r="Y45" s="633">
        <v>37.360937197444009</v>
      </c>
      <c r="Z45" s="630">
        <v>36.826011560693644</v>
      </c>
      <c r="AA45" s="630">
        <v>46.109795340455655</v>
      </c>
      <c r="AB45" s="630">
        <v>38.936719454100682</v>
      </c>
      <c r="AC45" s="631">
        <f t="shared" si="8"/>
        <v>0.97827769072150195</v>
      </c>
      <c r="AD45" s="632">
        <f t="shared" si="9"/>
        <v>1.689970687296475E-3</v>
      </c>
      <c r="AE45" s="113">
        <f t="shared" si="10"/>
        <v>1.6924927395222033E-3</v>
      </c>
      <c r="AF45" s="633">
        <v>1.4116156566272406</v>
      </c>
      <c r="AG45" s="630">
        <v>1.3831841307289821</v>
      </c>
      <c r="AH45" s="630">
        <v>1.712943415443541</v>
      </c>
      <c r="AI45" s="630">
        <v>1.4625419532058537</v>
      </c>
      <c r="AJ45" s="631">
        <f t="shared" si="11"/>
        <v>0.97981392718326255</v>
      </c>
      <c r="AK45" s="632">
        <f t="shared" si="12"/>
        <v>1.6873210060487354E-3</v>
      </c>
      <c r="AL45" s="113">
        <f t="shared" si="13"/>
        <v>1.6898557737966878E-3</v>
      </c>
      <c r="AM45" s="633">
        <v>26.718657680945348</v>
      </c>
      <c r="AN45" s="630">
        <v>23.842197180755957</v>
      </c>
      <c r="AO45" s="630">
        <v>25.207726409119697</v>
      </c>
      <c r="AP45" s="630">
        <v>20.941866906723909</v>
      </c>
      <c r="AQ45" s="634">
        <f t="shared" si="14"/>
        <v>1.0464177737850957</v>
      </c>
      <c r="AR45" s="632">
        <f t="shared" si="15"/>
        <v>1.5799240635747816E-3</v>
      </c>
      <c r="AS45" s="115">
        <f t="shared" si="16"/>
        <v>1.5895408193082323E-3</v>
      </c>
      <c r="AT45" s="628"/>
      <c r="AU45" s="635">
        <f t="shared" si="17"/>
        <v>2.9948366264230048E-4</v>
      </c>
      <c r="AV45" s="636">
        <f t="shared" si="18"/>
        <v>3.0054909520171321E-4</v>
      </c>
      <c r="AW45" s="636">
        <f t="shared" si="19"/>
        <v>3.3849854790444069E-4</v>
      </c>
      <c r="AX45" s="636">
        <f t="shared" si="20"/>
        <v>3.3797115475933757E-4</v>
      </c>
      <c r="AY45" s="637">
        <f t="shared" si="21"/>
        <v>3.1790816386164647E-4</v>
      </c>
      <c r="AZ45" s="638">
        <f t="shared" si="41"/>
        <v>-3.5596321732830234E-2</v>
      </c>
      <c r="BA45" s="639">
        <f t="shared" si="22"/>
        <v>37946.038242732873</v>
      </c>
      <c r="BB45" s="640">
        <f t="shared" si="22"/>
        <v>38081.033735601603</v>
      </c>
      <c r="BC45" s="640">
        <f t="shared" si="22"/>
        <v>42889.414168922383</v>
      </c>
      <c r="BD45" s="640">
        <f t="shared" si="22"/>
        <v>42822.59088956059</v>
      </c>
      <c r="BE45" s="640">
        <f t="shared" si="22"/>
        <v>40280.512256120448</v>
      </c>
      <c r="BF45" s="641">
        <f t="shared" si="23"/>
        <v>202019.58929293789</v>
      </c>
      <c r="BH45" s="642">
        <v>604843</v>
      </c>
      <c r="BI45" s="643">
        <f t="shared" si="24"/>
        <v>0.33400335176721546</v>
      </c>
      <c r="BJ45" s="644">
        <f t="shared" si="25"/>
        <v>181452.9</v>
      </c>
      <c r="BK45" s="645">
        <f t="shared" si="26"/>
        <v>20566.689292937896</v>
      </c>
      <c r="BM45" s="646">
        <f t="shared" si="27"/>
        <v>0</v>
      </c>
      <c r="BN45" s="647">
        <f t="shared" si="28"/>
        <v>0</v>
      </c>
      <c r="BO45" s="648">
        <f t="shared" si="29"/>
        <v>0</v>
      </c>
      <c r="BP45" s="648">
        <f t="shared" si="42"/>
        <v>181452.9</v>
      </c>
      <c r="BQ45" s="649">
        <f t="shared" si="43"/>
        <v>0.3</v>
      </c>
      <c r="BR45" s="142">
        <f t="shared" si="30"/>
        <v>0</v>
      </c>
      <c r="BS45" s="548"/>
      <c r="BT45" s="650">
        <f t="shared" si="31"/>
        <v>604843</v>
      </c>
      <c r="BU45" s="186">
        <f t="shared" si="44"/>
        <v>0.3</v>
      </c>
      <c r="BV45" s="651">
        <f t="shared" si="32"/>
        <v>181452.9</v>
      </c>
      <c r="BW45" s="652">
        <f t="shared" si="33"/>
        <v>0</v>
      </c>
      <c r="BY45" s="646">
        <f t="shared" si="45"/>
        <v>0</v>
      </c>
      <c r="BZ45" s="653">
        <f t="shared" si="34"/>
        <v>0</v>
      </c>
      <c r="CA45" s="654">
        <f t="shared" si="35"/>
        <v>0</v>
      </c>
      <c r="CB45" s="655">
        <f t="shared" si="46"/>
        <v>181452.9</v>
      </c>
      <c r="CC45" s="190">
        <f t="shared" si="47"/>
        <v>0.3</v>
      </c>
      <c r="CD45" s="656">
        <f t="shared" si="36"/>
        <v>0</v>
      </c>
      <c r="CE45" s="657"/>
      <c r="CF45" s="658">
        <f t="shared" si="37"/>
        <v>181452.9</v>
      </c>
      <c r="CG45" s="654">
        <f t="shared" si="38"/>
        <v>0</v>
      </c>
      <c r="CH45" s="659">
        <f t="shared" si="39"/>
        <v>181452.9</v>
      </c>
      <c r="CI45" s="660">
        <f t="shared" si="40"/>
        <v>0.3</v>
      </c>
      <c r="CL45" s="661">
        <v>0</v>
      </c>
      <c r="CM45" s="662">
        <f t="shared" si="48"/>
        <v>181452.9</v>
      </c>
      <c r="CN45" s="663">
        <f t="shared" si="49"/>
        <v>0.3</v>
      </c>
    </row>
    <row r="46" spans="1:92">
      <c r="A46" s="664" t="s">
        <v>228</v>
      </c>
      <c r="B46" s="626" t="s">
        <v>345</v>
      </c>
      <c r="C46" s="27"/>
      <c r="D46" s="627">
        <v>4844103</v>
      </c>
      <c r="E46" s="175">
        <v>125848</v>
      </c>
      <c r="F46" s="175">
        <v>46101.396664300002</v>
      </c>
      <c r="G46" s="175">
        <v>906466.02099999995</v>
      </c>
      <c r="H46" s="191">
        <f t="shared" si="0"/>
        <v>7.3281172519339671E-3</v>
      </c>
      <c r="I46" s="110">
        <f t="shared" si="1"/>
        <v>7.3281172519339679E-3</v>
      </c>
      <c r="J46" s="628"/>
      <c r="K46" s="629">
        <v>2.0644874296866029</v>
      </c>
      <c r="L46" s="630">
        <v>2.271031556749429</v>
      </c>
      <c r="M46" s="630">
        <v>2.6724711742855303</v>
      </c>
      <c r="N46" s="630">
        <v>2.7298088367343145</v>
      </c>
      <c r="O46" s="631">
        <f t="shared" si="2"/>
        <v>0.93402485678415115</v>
      </c>
      <c r="P46" s="632">
        <f t="shared" si="3"/>
        <v>6.8446436667350917E-3</v>
      </c>
      <c r="Q46" s="113">
        <f t="shared" si="4"/>
        <v>6.6250621294654368E-3</v>
      </c>
      <c r="R46" s="633">
        <v>9.9364322496519109E-2</v>
      </c>
      <c r="S46" s="630">
        <v>0.11118198611423494</v>
      </c>
      <c r="T46" s="630">
        <v>0.13217419191779745</v>
      </c>
      <c r="U46" s="630">
        <v>0.13883366511760292</v>
      </c>
      <c r="V46" s="631">
        <f t="shared" si="5"/>
        <v>0.95531263932332255</v>
      </c>
      <c r="W46" s="632">
        <f t="shared" si="6"/>
        <v>7.000643033215812E-3</v>
      </c>
      <c r="X46" s="113">
        <f t="shared" si="7"/>
        <v>6.7849078700182811E-3</v>
      </c>
      <c r="Y46" s="633">
        <v>134.38379634944323</v>
      </c>
      <c r="Z46" s="630">
        <v>98.371300178244169</v>
      </c>
      <c r="AA46" s="630">
        <v>93.44738367723788</v>
      </c>
      <c r="AB46" s="630">
        <v>108.95381405851531</v>
      </c>
      <c r="AC46" s="631">
        <f t="shared" si="8"/>
        <v>0.90591383740562093</v>
      </c>
      <c r="AD46" s="632">
        <f t="shared" si="9"/>
        <v>8.0891989385220298E-3</v>
      </c>
      <c r="AE46" s="113">
        <f t="shared" si="10"/>
        <v>8.1012709716884127E-3</v>
      </c>
      <c r="AF46" s="633">
        <v>6.4679274316529272</v>
      </c>
      <c r="AG46" s="630">
        <v>4.8159245070602568</v>
      </c>
      <c r="AH46" s="630">
        <v>4.6216896717972462</v>
      </c>
      <c r="AI46" s="630">
        <v>5.5412148758304092</v>
      </c>
      <c r="AJ46" s="631">
        <f t="shared" si="11"/>
        <v>0.92676229872522475</v>
      </c>
      <c r="AK46" s="632">
        <f t="shared" si="12"/>
        <v>7.9072241738943217E-3</v>
      </c>
      <c r="AL46" s="113">
        <f t="shared" si="13"/>
        <v>7.9191027534532589E-3</v>
      </c>
      <c r="AM46" s="633">
        <v>65.093056231319935</v>
      </c>
      <c r="AN46" s="630">
        <v>43.315690566204594</v>
      </c>
      <c r="AO46" s="630">
        <v>34.966657293214958</v>
      </c>
      <c r="AP46" s="630">
        <v>39.912616807577393</v>
      </c>
      <c r="AQ46" s="634">
        <f t="shared" si="14"/>
        <v>0.96694396142407157</v>
      </c>
      <c r="AR46" s="632">
        <f t="shared" si="15"/>
        <v>7.5786369678977538E-3</v>
      </c>
      <c r="AS46" s="115">
        <f t="shared" si="16"/>
        <v>7.6247669700877756E-3</v>
      </c>
      <c r="AT46" s="628"/>
      <c r="AU46" s="635">
        <f t="shared" si="17"/>
        <v>1.3250124258930875E-3</v>
      </c>
      <c r="AV46" s="636">
        <f t="shared" si="18"/>
        <v>1.3569815740036564E-3</v>
      </c>
      <c r="AW46" s="636">
        <f t="shared" si="19"/>
        <v>1.6202541943376827E-3</v>
      </c>
      <c r="AX46" s="636">
        <f t="shared" si="20"/>
        <v>1.5838205506906518E-3</v>
      </c>
      <c r="AY46" s="637">
        <f t="shared" si="21"/>
        <v>1.5249533940175552E-3</v>
      </c>
      <c r="AZ46" s="638">
        <f t="shared" si="41"/>
        <v>1.131325880283734E-2</v>
      </c>
      <c r="BA46" s="639">
        <f t="shared" si="22"/>
        <v>167885.52584615586</v>
      </c>
      <c r="BB46" s="640">
        <f t="shared" si="22"/>
        <v>171936.17256954708</v>
      </c>
      <c r="BC46" s="640">
        <f t="shared" si="22"/>
        <v>205294.09544025661</v>
      </c>
      <c r="BD46" s="640">
        <f t="shared" si="22"/>
        <v>200677.77539476691</v>
      </c>
      <c r="BE46" s="640">
        <f t="shared" si="22"/>
        <v>193219.02002009974</v>
      </c>
      <c r="BF46" s="641">
        <f t="shared" si="23"/>
        <v>939012.5892708262</v>
      </c>
      <c r="BH46" s="642">
        <v>5022923</v>
      </c>
      <c r="BI46" s="643">
        <f t="shared" si="24"/>
        <v>0.18694544775439045</v>
      </c>
      <c r="BJ46" s="644">
        <f t="shared" si="25"/>
        <v>939012.5892708262</v>
      </c>
      <c r="BK46" s="645">
        <f t="shared" si="26"/>
        <v>0</v>
      </c>
      <c r="BM46" s="646">
        <f t="shared" si="27"/>
        <v>939012.5892708262</v>
      </c>
      <c r="BN46" s="647">
        <f t="shared" si="28"/>
        <v>8.1082852384017374E-3</v>
      </c>
      <c r="BO46" s="648">
        <f t="shared" si="29"/>
        <v>23311.980036139077</v>
      </c>
      <c r="BP46" s="648">
        <f t="shared" si="42"/>
        <v>962324.56930696522</v>
      </c>
      <c r="BQ46" s="649">
        <f t="shared" si="43"/>
        <v>0.19158656609049457</v>
      </c>
      <c r="BR46" s="142">
        <f t="shared" si="30"/>
        <v>0</v>
      </c>
      <c r="BS46" s="548"/>
      <c r="BT46" s="650">
        <f t="shared" si="31"/>
        <v>5022923</v>
      </c>
      <c r="BU46" s="186">
        <f t="shared" si="44"/>
        <v>0.19158656609049457</v>
      </c>
      <c r="BV46" s="651">
        <f t="shared" si="32"/>
        <v>962324.56930696522</v>
      </c>
      <c r="BW46" s="652">
        <f t="shared" si="33"/>
        <v>0</v>
      </c>
      <c r="BY46" s="646">
        <f t="shared" si="45"/>
        <v>962324.56930696522</v>
      </c>
      <c r="BZ46" s="653">
        <f t="shared" si="34"/>
        <v>8.1082852384017374E-3</v>
      </c>
      <c r="CA46" s="654">
        <f t="shared" si="35"/>
        <v>0</v>
      </c>
      <c r="CB46" s="655">
        <f t="shared" si="46"/>
        <v>962324.56930696522</v>
      </c>
      <c r="CC46" s="190">
        <f t="shared" si="47"/>
        <v>0.19158656609049457</v>
      </c>
      <c r="CD46" s="656">
        <f t="shared" si="36"/>
        <v>0</v>
      </c>
      <c r="CE46" s="657"/>
      <c r="CF46" s="658">
        <f t="shared" si="37"/>
        <v>1506876.9</v>
      </c>
      <c r="CG46" s="654">
        <f t="shared" si="38"/>
        <v>0</v>
      </c>
      <c r="CH46" s="659">
        <f t="shared" si="39"/>
        <v>962324.56930696522</v>
      </c>
      <c r="CI46" s="660">
        <f t="shared" si="40"/>
        <v>0.19158656609049457</v>
      </c>
      <c r="CL46" s="661">
        <v>0</v>
      </c>
      <c r="CM46" s="662">
        <f t="shared" si="48"/>
        <v>962324.56930696522</v>
      </c>
      <c r="CN46" s="663">
        <f t="shared" si="49"/>
        <v>0.19158656609049457</v>
      </c>
    </row>
    <row r="47" spans="1:92" ht="16.5" customHeight="1">
      <c r="A47" s="664" t="s">
        <v>228</v>
      </c>
      <c r="B47" s="626" t="s">
        <v>346</v>
      </c>
      <c r="C47" s="27"/>
      <c r="D47" s="627">
        <v>457239</v>
      </c>
      <c r="E47" s="175">
        <v>12090</v>
      </c>
      <c r="F47" s="175">
        <v>5064</v>
      </c>
      <c r="G47" s="175">
        <v>59926</v>
      </c>
      <c r="H47" s="176">
        <f t="shared" si="0"/>
        <v>6.6928241831976619E-4</v>
      </c>
      <c r="I47" s="110">
        <f t="shared" si="1"/>
        <v>6.692824183197663E-4</v>
      </c>
      <c r="J47" s="628"/>
      <c r="K47" s="629">
        <v>2.06749490079733</v>
      </c>
      <c r="L47" s="630">
        <v>2.1966604823747682</v>
      </c>
      <c r="M47" s="630">
        <v>2.1937241638481773</v>
      </c>
      <c r="N47" s="630">
        <v>2.3874407582938391</v>
      </c>
      <c r="O47" s="631">
        <f t="shared" si="2"/>
        <v>0.89509204736198367</v>
      </c>
      <c r="P47" s="632">
        <f t="shared" si="3"/>
        <v>5.9906937007721923E-4</v>
      </c>
      <c r="Q47" s="113">
        <f t="shared" si="4"/>
        <v>5.798507548186887E-4</v>
      </c>
      <c r="R47" s="633">
        <v>0.21433239783168659</v>
      </c>
      <c r="S47" s="630">
        <v>0.21260549470281917</v>
      </c>
      <c r="T47" s="630">
        <v>0.19288275041715541</v>
      </c>
      <c r="U47" s="630">
        <v>0.20174882354904383</v>
      </c>
      <c r="V47" s="631">
        <f t="shared" si="5"/>
        <v>0.84151676129837449</v>
      </c>
      <c r="W47" s="632">
        <f t="shared" si="6"/>
        <v>5.6321237305839364E-4</v>
      </c>
      <c r="X47" s="113">
        <f t="shared" si="7"/>
        <v>5.4585615125989312E-4</v>
      </c>
      <c r="Y47" s="633">
        <v>27.145188206934915</v>
      </c>
      <c r="Z47" s="630">
        <v>30.05751391465677</v>
      </c>
      <c r="AA47" s="630">
        <v>32.056181886508831</v>
      </c>
      <c r="AB47" s="630">
        <v>90.292061611374407</v>
      </c>
      <c r="AC47" s="631">
        <f t="shared" si="8"/>
        <v>1.5961923046443367</v>
      </c>
      <c r="AD47" s="632">
        <f t="shared" si="9"/>
        <v>4.1929936410067814E-4</v>
      </c>
      <c r="AE47" s="113">
        <f t="shared" si="10"/>
        <v>4.1992511157809049E-4</v>
      </c>
      <c r="AF47" s="633">
        <v>2.8140786590288722</v>
      </c>
      <c r="AG47" s="630">
        <v>2.9091398814868019</v>
      </c>
      <c r="AH47" s="630">
        <v>2.8185332650465065</v>
      </c>
      <c r="AI47" s="630">
        <v>7.6300604078363312</v>
      </c>
      <c r="AJ47" s="631">
        <f t="shared" si="11"/>
        <v>1.5109100097087511</v>
      </c>
      <c r="AK47" s="632">
        <f t="shared" si="12"/>
        <v>4.4296643348651837E-4</v>
      </c>
      <c r="AL47" s="113">
        <f t="shared" si="13"/>
        <v>4.4363187712468923E-4</v>
      </c>
      <c r="AM47" s="633">
        <v>13.129506726457398</v>
      </c>
      <c r="AN47" s="630">
        <v>13.683277027027026</v>
      </c>
      <c r="AO47" s="630">
        <v>14.612676659528908</v>
      </c>
      <c r="AP47" s="630">
        <v>37.819602977667493</v>
      </c>
      <c r="AQ47" s="634">
        <f t="shared" si="14"/>
        <v>1.7190933112114191</v>
      </c>
      <c r="AR47" s="632">
        <f t="shared" si="15"/>
        <v>3.8932291455903175E-4</v>
      </c>
      <c r="AS47" s="115">
        <f t="shared" si="16"/>
        <v>3.9169266349638128E-4</v>
      </c>
      <c r="AT47" s="628"/>
      <c r="AU47" s="635">
        <f t="shared" si="17"/>
        <v>1.1597015096373774E-4</v>
      </c>
      <c r="AV47" s="636">
        <f t="shared" si="18"/>
        <v>1.0917123025197863E-4</v>
      </c>
      <c r="AW47" s="636">
        <f t="shared" si="19"/>
        <v>8.3985022315618107E-5</v>
      </c>
      <c r="AX47" s="636">
        <f t="shared" si="20"/>
        <v>8.8726375424937845E-5</v>
      </c>
      <c r="AY47" s="637">
        <f t="shared" si="21"/>
        <v>7.8338532699276259E-5</v>
      </c>
      <c r="AZ47" s="638">
        <f t="shared" si="41"/>
        <v>-0.28850467512499878</v>
      </c>
      <c r="BA47" s="639">
        <f t="shared" si="22"/>
        <v>14693.982785770615</v>
      </c>
      <c r="BB47" s="640">
        <f t="shared" si="22"/>
        <v>13832.526427645789</v>
      </c>
      <c r="BC47" s="640">
        <f t="shared" si="22"/>
        <v>10641.31125046247</v>
      </c>
      <c r="BD47" s="640">
        <f t="shared" si="22"/>
        <v>11242.06377506157</v>
      </c>
      <c r="BE47" s="640">
        <f t="shared" si="22"/>
        <v>9925.8735233140142</v>
      </c>
      <c r="BF47" s="641">
        <f t="shared" si="23"/>
        <v>60335.757762254463</v>
      </c>
      <c r="BH47" s="642">
        <v>457239</v>
      </c>
      <c r="BI47" s="643">
        <f t="shared" si="24"/>
        <v>0.13195671795768615</v>
      </c>
      <c r="BJ47" s="644">
        <f t="shared" si="25"/>
        <v>60335.757762254463</v>
      </c>
      <c r="BK47" s="645">
        <f t="shared" si="26"/>
        <v>0</v>
      </c>
      <c r="BM47" s="646">
        <f t="shared" si="27"/>
        <v>60335.757762254463</v>
      </c>
      <c r="BN47" s="647">
        <f t="shared" si="28"/>
        <v>5.2099358368705765E-4</v>
      </c>
      <c r="BO47" s="648">
        <f t="shared" si="29"/>
        <v>1497.8989594923621</v>
      </c>
      <c r="BP47" s="648">
        <f t="shared" si="42"/>
        <v>61833.656721746825</v>
      </c>
      <c r="BQ47" s="649">
        <f t="shared" si="43"/>
        <v>0.13523268295518717</v>
      </c>
      <c r="BR47" s="142">
        <f t="shared" si="30"/>
        <v>0</v>
      </c>
      <c r="BS47" s="548"/>
      <c r="BT47" s="650">
        <f t="shared" si="31"/>
        <v>457239</v>
      </c>
      <c r="BU47" s="186">
        <f t="shared" si="44"/>
        <v>0.13523268295518717</v>
      </c>
      <c r="BV47" s="651">
        <f t="shared" si="32"/>
        <v>61833.656721746825</v>
      </c>
      <c r="BW47" s="652">
        <f t="shared" si="33"/>
        <v>0</v>
      </c>
      <c r="BY47" s="646">
        <f t="shared" si="45"/>
        <v>61833.656721746825</v>
      </c>
      <c r="BZ47" s="653">
        <f t="shared" si="34"/>
        <v>5.2099358368705765E-4</v>
      </c>
      <c r="CA47" s="654">
        <f t="shared" si="35"/>
        <v>0</v>
      </c>
      <c r="CB47" s="655">
        <f t="shared" si="46"/>
        <v>61833.656721746825</v>
      </c>
      <c r="CC47" s="190">
        <f t="shared" si="47"/>
        <v>0.13523268295518717</v>
      </c>
      <c r="CD47" s="656">
        <f t="shared" si="36"/>
        <v>0</v>
      </c>
      <c r="CE47" s="657"/>
      <c r="CF47" s="658">
        <f t="shared" si="37"/>
        <v>137171.69999999998</v>
      </c>
      <c r="CG47" s="654">
        <f t="shared" si="38"/>
        <v>0</v>
      </c>
      <c r="CH47" s="659">
        <f t="shared" si="39"/>
        <v>61833.656721746825</v>
      </c>
      <c r="CI47" s="660">
        <f t="shared" si="40"/>
        <v>0.13523268295518717</v>
      </c>
      <c r="CL47" s="661">
        <v>0</v>
      </c>
      <c r="CM47" s="662">
        <f t="shared" si="48"/>
        <v>61833.656721746825</v>
      </c>
      <c r="CN47" s="663">
        <f t="shared" si="49"/>
        <v>0.13523268295518717</v>
      </c>
    </row>
    <row r="48" spans="1:92">
      <c r="A48" s="664" t="s">
        <v>228</v>
      </c>
      <c r="B48" s="626" t="s">
        <v>347</v>
      </c>
      <c r="C48" s="27"/>
      <c r="D48" s="627">
        <v>1214573</v>
      </c>
      <c r="E48" s="175">
        <v>62326</v>
      </c>
      <c r="F48" s="175">
        <v>18443</v>
      </c>
      <c r="G48" s="175">
        <v>310461</v>
      </c>
      <c r="H48" s="191">
        <f t="shared" si="0"/>
        <v>2.2842996612889377E-3</v>
      </c>
      <c r="I48" s="110">
        <f t="shared" si="1"/>
        <v>2.2842996612889382E-3</v>
      </c>
      <c r="J48" s="628"/>
      <c r="K48" s="629">
        <v>1.8714498597475455</v>
      </c>
      <c r="L48" s="630">
        <v>2.7255388346838654</v>
      </c>
      <c r="M48" s="630">
        <v>3.379350030141941</v>
      </c>
      <c r="N48" s="630">
        <v>3.379385132570623</v>
      </c>
      <c r="O48" s="631">
        <f t="shared" si="2"/>
        <v>1.0377100683979792</v>
      </c>
      <c r="P48" s="632">
        <f t="shared" si="3"/>
        <v>2.3704407577576246E-3</v>
      </c>
      <c r="Q48" s="113">
        <f t="shared" si="4"/>
        <v>2.2943951590473927E-3</v>
      </c>
      <c r="R48" s="633">
        <v>0.12054951539089166</v>
      </c>
      <c r="S48" s="630">
        <v>0.1590504069225078</v>
      </c>
      <c r="T48" s="630">
        <v>0.19664325941233121</v>
      </c>
      <c r="U48" s="630">
        <v>0.20075307365498404</v>
      </c>
      <c r="V48" s="631">
        <f t="shared" si="5"/>
        <v>1.0125894313685293</v>
      </c>
      <c r="W48" s="632">
        <f t="shared" si="6"/>
        <v>2.3130576950998898E-3</v>
      </c>
      <c r="X48" s="113">
        <f t="shared" si="7"/>
        <v>2.2417774031367023E-3</v>
      </c>
      <c r="Y48" s="633">
        <v>53.352691093969142</v>
      </c>
      <c r="Z48" s="630">
        <v>79.509949837384923</v>
      </c>
      <c r="AA48" s="630">
        <v>73.872855811914292</v>
      </c>
      <c r="AB48" s="630">
        <v>66.185056661063825</v>
      </c>
      <c r="AC48" s="631">
        <f t="shared" si="8"/>
        <v>1.0631089096658457</v>
      </c>
      <c r="AD48" s="632">
        <f t="shared" si="9"/>
        <v>2.148697692701056E-3</v>
      </c>
      <c r="AE48" s="113">
        <f t="shared" si="10"/>
        <v>2.1519043328156033E-3</v>
      </c>
      <c r="AF48" s="633">
        <v>3.4367156686984583</v>
      </c>
      <c r="AG48" s="630">
        <v>4.639849454756007</v>
      </c>
      <c r="AH48" s="630">
        <v>4.2986370217298404</v>
      </c>
      <c r="AI48" s="630">
        <v>3.9317369975616905</v>
      </c>
      <c r="AJ48" s="631">
        <f t="shared" si="11"/>
        <v>1.0292620787887317</v>
      </c>
      <c r="AK48" s="632">
        <f t="shared" si="12"/>
        <v>2.2193566715070028E-3</v>
      </c>
      <c r="AL48" s="113">
        <f t="shared" si="13"/>
        <v>2.2226906866066624E-3</v>
      </c>
      <c r="AM48" s="633">
        <v>28.508747277453804</v>
      </c>
      <c r="AN48" s="630">
        <v>29.17219480624545</v>
      </c>
      <c r="AO48" s="630">
        <v>21.860078166809917</v>
      </c>
      <c r="AP48" s="630">
        <v>19.584940474280398</v>
      </c>
      <c r="AQ48" s="634">
        <f t="shared" si="14"/>
        <v>1.01288844997681</v>
      </c>
      <c r="AR48" s="632">
        <f t="shared" si="15"/>
        <v>2.2552332009919125E-3</v>
      </c>
      <c r="AS48" s="115">
        <f t="shared" si="16"/>
        <v>2.2689604599886743E-3</v>
      </c>
      <c r="AT48" s="628"/>
      <c r="AU48" s="635">
        <f t="shared" si="17"/>
        <v>4.5887903180947859E-4</v>
      </c>
      <c r="AV48" s="636">
        <f t="shared" si="18"/>
        <v>4.483554806273405E-4</v>
      </c>
      <c r="AW48" s="636">
        <f t="shared" si="19"/>
        <v>4.3038086656312069E-4</v>
      </c>
      <c r="AX48" s="636">
        <f t="shared" si="20"/>
        <v>4.4453813732133249E-4</v>
      </c>
      <c r="AY48" s="637">
        <f t="shared" si="21"/>
        <v>4.537920919977349E-4</v>
      </c>
      <c r="AZ48" s="638">
        <f t="shared" si="41"/>
        <v>-2.1167999010535569E-2</v>
      </c>
      <c r="BA48" s="639">
        <f t="shared" si="22"/>
        <v>58142.207612266815</v>
      </c>
      <c r="BB48" s="640">
        <f t="shared" si="22"/>
        <v>56808.822438319214</v>
      </c>
      <c r="BC48" s="640">
        <f t="shared" si="22"/>
        <v>54531.351317986686</v>
      </c>
      <c r="BD48" s="640">
        <f t="shared" si="22"/>
        <v>56325.146454803442</v>
      </c>
      <c r="BE48" s="640">
        <f t="shared" si="22"/>
        <v>57497.667569808953</v>
      </c>
      <c r="BF48" s="641">
        <f t="shared" si="23"/>
        <v>283305.19539318513</v>
      </c>
      <c r="BH48" s="642">
        <v>1220651</v>
      </c>
      <c r="BI48" s="643">
        <f t="shared" si="24"/>
        <v>0.23209352664535984</v>
      </c>
      <c r="BJ48" s="644">
        <f t="shared" si="25"/>
        <v>283305.19539318513</v>
      </c>
      <c r="BK48" s="645">
        <f t="shared" si="26"/>
        <v>0</v>
      </c>
      <c r="BM48" s="646">
        <f t="shared" si="27"/>
        <v>283305.19539318513</v>
      </c>
      <c r="BN48" s="647">
        <f t="shared" si="28"/>
        <v>2.4463136703554429E-3</v>
      </c>
      <c r="BO48" s="648">
        <f t="shared" si="29"/>
        <v>7033.3509205333958</v>
      </c>
      <c r="BP48" s="648">
        <f t="shared" si="42"/>
        <v>290338.54631371854</v>
      </c>
      <c r="BQ48" s="649">
        <f t="shared" si="43"/>
        <v>0.23785549376006618</v>
      </c>
      <c r="BR48" s="142">
        <f t="shared" si="30"/>
        <v>0</v>
      </c>
      <c r="BS48" s="548"/>
      <c r="BT48" s="650">
        <f t="shared" si="31"/>
        <v>1220651</v>
      </c>
      <c r="BU48" s="186">
        <f t="shared" si="44"/>
        <v>0.23785549376006618</v>
      </c>
      <c r="BV48" s="651">
        <f t="shared" si="32"/>
        <v>290338.54631371854</v>
      </c>
      <c r="BW48" s="652">
        <f t="shared" si="33"/>
        <v>0</v>
      </c>
      <c r="BY48" s="646">
        <f t="shared" si="45"/>
        <v>290338.54631371854</v>
      </c>
      <c r="BZ48" s="653">
        <f t="shared" si="34"/>
        <v>2.4463136703554429E-3</v>
      </c>
      <c r="CA48" s="654">
        <f t="shared" si="35"/>
        <v>0</v>
      </c>
      <c r="CB48" s="655">
        <f t="shared" si="46"/>
        <v>290338.54631371854</v>
      </c>
      <c r="CC48" s="190">
        <f t="shared" si="47"/>
        <v>0.23785549376006618</v>
      </c>
      <c r="CD48" s="656">
        <f t="shared" si="36"/>
        <v>0</v>
      </c>
      <c r="CE48" s="657"/>
      <c r="CF48" s="658">
        <f t="shared" si="37"/>
        <v>366195.3</v>
      </c>
      <c r="CG48" s="654">
        <f t="shared" si="38"/>
        <v>0</v>
      </c>
      <c r="CH48" s="659">
        <f t="shared" si="39"/>
        <v>290338.54631371854</v>
      </c>
      <c r="CI48" s="660">
        <f t="shared" si="40"/>
        <v>0.23785549376006618</v>
      </c>
      <c r="CL48" s="661">
        <v>0</v>
      </c>
      <c r="CM48" s="662">
        <f t="shared" si="48"/>
        <v>290338.54631371854</v>
      </c>
      <c r="CN48" s="663">
        <f t="shared" si="49"/>
        <v>0.23785549376006618</v>
      </c>
    </row>
    <row r="49" spans="1:92">
      <c r="A49" s="664" t="s">
        <v>228</v>
      </c>
      <c r="B49" s="626" t="s">
        <v>348</v>
      </c>
      <c r="C49" s="27"/>
      <c r="D49" s="627">
        <v>4861903</v>
      </c>
      <c r="E49" s="175">
        <v>192152</v>
      </c>
      <c r="F49" s="175">
        <v>63064.05</v>
      </c>
      <c r="G49" s="175">
        <v>985112</v>
      </c>
      <c r="H49" s="191">
        <f t="shared" si="0"/>
        <v>8.1998366523091792E-3</v>
      </c>
      <c r="I49" s="110">
        <f t="shared" si="1"/>
        <v>8.1998366523091809E-3</v>
      </c>
      <c r="J49" s="628"/>
      <c r="K49" s="629">
        <v>2.6052602436323364</v>
      </c>
      <c r="L49" s="630">
        <v>2.7993357457988401</v>
      </c>
      <c r="M49" s="630">
        <v>2.9370912341787041</v>
      </c>
      <c r="N49" s="630">
        <v>3.0469340297681482</v>
      </c>
      <c r="O49" s="631">
        <f t="shared" si="2"/>
        <v>0.89655682269168502</v>
      </c>
      <c r="P49" s="632">
        <f t="shared" si="3"/>
        <v>7.3516194955851426E-3</v>
      </c>
      <c r="Q49" s="113">
        <f t="shared" si="4"/>
        <v>7.1157737760910019E-3</v>
      </c>
      <c r="R49" s="633">
        <v>0.16890249812434263</v>
      </c>
      <c r="S49" s="630">
        <v>0.1810610173694088</v>
      </c>
      <c r="T49" s="630">
        <v>0.18826739427012279</v>
      </c>
      <c r="U49" s="630">
        <v>0.19505599363321124</v>
      </c>
      <c r="V49" s="631">
        <f t="shared" si="5"/>
        <v>0.89673887950738995</v>
      </c>
      <c r="W49" s="632">
        <f t="shared" si="6"/>
        <v>7.3531123317353625E-3</v>
      </c>
      <c r="X49" s="113">
        <f t="shared" si="7"/>
        <v>7.1265153060949887E-3</v>
      </c>
      <c r="Y49" s="633">
        <v>61.375230712440015</v>
      </c>
      <c r="Z49" s="630">
        <v>66.464250896412693</v>
      </c>
      <c r="AA49" s="630">
        <v>73.070531219122003</v>
      </c>
      <c r="AB49" s="630">
        <v>77.638416815919683</v>
      </c>
      <c r="AC49" s="631">
        <f t="shared" si="8"/>
        <v>1.0340237832501058</v>
      </c>
      <c r="AD49" s="632">
        <f t="shared" si="9"/>
        <v>7.9300271281340876E-3</v>
      </c>
      <c r="AE49" s="113">
        <f t="shared" si="10"/>
        <v>7.9418616189444527E-3</v>
      </c>
      <c r="AF49" s="633">
        <v>3.9790381078535897</v>
      </c>
      <c r="AG49" s="630">
        <v>4.2989073047277451</v>
      </c>
      <c r="AH49" s="630">
        <v>4.6838172238134641</v>
      </c>
      <c r="AI49" s="630">
        <v>4.9701891764591233</v>
      </c>
      <c r="AJ49" s="631">
        <f t="shared" si="11"/>
        <v>1.0349971909494167</v>
      </c>
      <c r="AK49" s="632">
        <f t="shared" si="12"/>
        <v>7.9225689924697883E-3</v>
      </c>
      <c r="AL49" s="113">
        <f t="shared" si="13"/>
        <v>7.9344706236893665E-3</v>
      </c>
      <c r="AM49" s="633">
        <v>23.558195716704567</v>
      </c>
      <c r="AN49" s="630">
        <v>23.742865069386646</v>
      </c>
      <c r="AO49" s="630">
        <v>24.878536413443978</v>
      </c>
      <c r="AP49" s="630">
        <v>25.48083288230151</v>
      </c>
      <c r="AQ49" s="634">
        <f t="shared" si="14"/>
        <v>1.1585307516945786</v>
      </c>
      <c r="AR49" s="632">
        <f t="shared" si="15"/>
        <v>7.077789381348152E-3</v>
      </c>
      <c r="AS49" s="115">
        <f t="shared" si="16"/>
        <v>7.120870801007797E-3</v>
      </c>
      <c r="AT49" s="628"/>
      <c r="AU49" s="635">
        <f t="shared" si="17"/>
        <v>1.4231547552182005E-3</v>
      </c>
      <c r="AV49" s="636">
        <f t="shared" si="18"/>
        <v>1.4253030612189979E-3</v>
      </c>
      <c r="AW49" s="636">
        <f t="shared" si="19"/>
        <v>1.5883723237888907E-3</v>
      </c>
      <c r="AX49" s="636">
        <f t="shared" si="20"/>
        <v>1.5868941247378734E-3</v>
      </c>
      <c r="AY49" s="637">
        <f t="shared" si="21"/>
        <v>1.4241741602015595E-3</v>
      </c>
      <c r="AZ49" s="638">
        <f t="shared" si="41"/>
        <v>-9.1701610535363798E-2</v>
      </c>
      <c r="BA49" s="639">
        <f t="shared" si="22"/>
        <v>180320.63682664916</v>
      </c>
      <c r="BB49" s="640">
        <f t="shared" si="22"/>
        <v>180592.83765705212</v>
      </c>
      <c r="BC49" s="640">
        <f t="shared" si="22"/>
        <v>201254.50720889698</v>
      </c>
      <c r="BD49" s="640">
        <f t="shared" si="22"/>
        <v>201067.2121917819</v>
      </c>
      <c r="BE49" s="640">
        <f t="shared" si="22"/>
        <v>180449.80040152362</v>
      </c>
      <c r="BF49" s="641">
        <f t="shared" si="23"/>
        <v>943684.99428590375</v>
      </c>
      <c r="BH49" s="642">
        <v>4896193</v>
      </c>
      <c r="BI49" s="643">
        <f t="shared" si="24"/>
        <v>0.19273852037407507</v>
      </c>
      <c r="BJ49" s="644">
        <f t="shared" si="25"/>
        <v>943684.99428590375</v>
      </c>
      <c r="BK49" s="645">
        <f t="shared" si="26"/>
        <v>0</v>
      </c>
      <c r="BM49" s="646">
        <f t="shared" si="27"/>
        <v>943684.99428590375</v>
      </c>
      <c r="BN49" s="647">
        <f t="shared" si="28"/>
        <v>8.1486310154919115E-3</v>
      </c>
      <c r="BO49" s="648">
        <f t="shared" si="29"/>
        <v>23427.977429227096</v>
      </c>
      <c r="BP49" s="648">
        <f t="shared" si="42"/>
        <v>967112.97171513084</v>
      </c>
      <c r="BQ49" s="649">
        <f>BP49/BH49</f>
        <v>0.19752345786106285</v>
      </c>
      <c r="BR49" s="142">
        <f t="shared" si="30"/>
        <v>0</v>
      </c>
      <c r="BS49" s="548"/>
      <c r="BT49" s="650">
        <f t="shared" si="31"/>
        <v>4896193</v>
      </c>
      <c r="BU49" s="186">
        <f t="shared" si="44"/>
        <v>0.19752345786106285</v>
      </c>
      <c r="BV49" s="651">
        <f t="shared" si="32"/>
        <v>967112.97171513084</v>
      </c>
      <c r="BW49" s="652">
        <f t="shared" si="33"/>
        <v>0</v>
      </c>
      <c r="BY49" s="646">
        <f t="shared" si="45"/>
        <v>967112.97171513084</v>
      </c>
      <c r="BZ49" s="653">
        <f t="shared" si="34"/>
        <v>8.1486310154919115E-3</v>
      </c>
      <c r="CA49" s="654">
        <f t="shared" si="35"/>
        <v>0</v>
      </c>
      <c r="CB49" s="655">
        <f t="shared" si="46"/>
        <v>967112.97171513084</v>
      </c>
      <c r="CC49" s="190">
        <f t="shared" si="47"/>
        <v>0.19752345786106285</v>
      </c>
      <c r="CD49" s="656">
        <f t="shared" si="36"/>
        <v>0</v>
      </c>
      <c r="CE49" s="657"/>
      <c r="CF49" s="658">
        <f t="shared" si="37"/>
        <v>1468857.9</v>
      </c>
      <c r="CG49" s="654">
        <f t="shared" si="38"/>
        <v>0</v>
      </c>
      <c r="CH49" s="659">
        <f t="shared" si="39"/>
        <v>967112.97171513084</v>
      </c>
      <c r="CI49" s="660">
        <f t="shared" si="40"/>
        <v>0.19752345786106285</v>
      </c>
      <c r="CL49" s="661">
        <v>4766</v>
      </c>
      <c r="CM49" s="662">
        <f t="shared" si="48"/>
        <v>971878.97171513084</v>
      </c>
      <c r="CN49" s="663">
        <f t="shared" si="49"/>
        <v>0.19849686720174856</v>
      </c>
    </row>
    <row r="50" spans="1:92" s="696" customFormat="1" ht="15" thickBot="1">
      <c r="A50" s="673"/>
      <c r="B50" s="674" t="s">
        <v>328</v>
      </c>
      <c r="C50" s="27"/>
      <c r="D50" s="675">
        <f t="shared" ref="D50:I50" si="50">SUM(D12:D49)</f>
        <v>568658897</v>
      </c>
      <c r="E50" s="676">
        <f t="shared" si="50"/>
        <v>53095068</v>
      </c>
      <c r="F50" s="676">
        <f t="shared" si="50"/>
        <v>4681948.6436643004</v>
      </c>
      <c r="G50" s="676">
        <f t="shared" si="50"/>
        <v>66013685.590599991</v>
      </c>
      <c r="H50" s="677">
        <f t="shared" si="50"/>
        <v>0.99999999999999989</v>
      </c>
      <c r="I50" s="678">
        <f t="shared" si="50"/>
        <v>1.0000000000000002</v>
      </c>
      <c r="J50" s="679"/>
      <c r="K50" s="680">
        <v>6.9503910166537581</v>
      </c>
      <c r="L50" s="681">
        <v>8.9103336909540651</v>
      </c>
      <c r="M50" s="681">
        <v>10.58680012169124</v>
      </c>
      <c r="N50" s="681">
        <v>11.340378129061545</v>
      </c>
      <c r="O50" s="682"/>
      <c r="P50" s="683">
        <f>SUM(P12:P49)</f>
        <v>1.0331440721579124</v>
      </c>
      <c r="Q50" s="684">
        <f>SUM(Q12:Q49)</f>
        <v>0.99999999999999989</v>
      </c>
      <c r="R50" s="685">
        <v>0.50001375435483453</v>
      </c>
      <c r="S50" s="681">
        <v>0.62877909337252769</v>
      </c>
      <c r="T50" s="681">
        <v>0.74929493676777836</v>
      </c>
      <c r="U50" s="681">
        <v>0.80430394887026979</v>
      </c>
      <c r="V50" s="682"/>
      <c r="W50" s="683">
        <f>SUM(W12:W49)</f>
        <v>1.0317963290483043</v>
      </c>
      <c r="X50" s="684">
        <f>SUM(X12:X49)</f>
        <v>1</v>
      </c>
      <c r="Y50" s="686">
        <v>108.38174623012041</v>
      </c>
      <c r="Z50" s="687">
        <v>109.41026264200019</v>
      </c>
      <c r="AA50" s="687">
        <v>119.77918538846754</v>
      </c>
      <c r="AB50" s="687">
        <v>124.14956084291406</v>
      </c>
      <c r="AC50" s="682"/>
      <c r="AD50" s="683">
        <f>SUM(AD12:AD49)</f>
        <v>0.99850985935310999</v>
      </c>
      <c r="AE50" s="684">
        <f>SUM(AE12:AE49)</f>
        <v>1.0000000000000002</v>
      </c>
      <c r="AF50" s="686">
        <v>7.7970237510674849</v>
      </c>
      <c r="AG50" s="687">
        <v>7.7207979112531833</v>
      </c>
      <c r="AH50" s="687">
        <v>8.4775320314076392</v>
      </c>
      <c r="AI50" s="687">
        <v>8.8051721820962641</v>
      </c>
      <c r="AJ50" s="682"/>
      <c r="AK50" s="683">
        <f>SUM(AK12:AK49)</f>
        <v>0.99850000941662764</v>
      </c>
      <c r="AL50" s="684">
        <f>SUM(AL12:AL49)</f>
        <v>0.99999999999999989</v>
      </c>
      <c r="AM50" s="686">
        <v>15.593618541809814</v>
      </c>
      <c r="AN50" s="687">
        <v>12.279030891185982</v>
      </c>
      <c r="AO50" s="687">
        <v>11.314012167194182</v>
      </c>
      <c r="AP50" s="687">
        <v>10.947568011401737</v>
      </c>
      <c r="AQ50" s="688"/>
      <c r="AR50" s="683">
        <f>SUM(AR12:AR49)</f>
        <v>0.99394997875069613</v>
      </c>
      <c r="AS50" s="689">
        <f>SUM(AS12:AS49)</f>
        <v>1</v>
      </c>
      <c r="AT50" s="679"/>
      <c r="AU50" s="690">
        <f>SUM(AU12:AU49)</f>
        <v>0.2</v>
      </c>
      <c r="AV50" s="691">
        <f>SUM(AV12:AV49)</f>
        <v>0.2</v>
      </c>
      <c r="AW50" s="691">
        <f>SUM(AW12:AW49)</f>
        <v>0.20000000000000004</v>
      </c>
      <c r="AX50" s="691">
        <f>SUM(AX12:AX49)</f>
        <v>0.20000000000000004</v>
      </c>
      <c r="AY50" s="692">
        <f>SUM(AY12:AY49)</f>
        <v>0.20000000000000007</v>
      </c>
      <c r="AZ50" s="679"/>
      <c r="BA50" s="693">
        <f t="shared" si="22"/>
        <v>25340973.800000001</v>
      </c>
      <c r="BB50" s="694">
        <f t="shared" si="22"/>
        <v>25340973.800000001</v>
      </c>
      <c r="BC50" s="694">
        <f t="shared" si="22"/>
        <v>25340973.800000004</v>
      </c>
      <c r="BD50" s="694">
        <f t="shared" si="22"/>
        <v>25340973.800000004</v>
      </c>
      <c r="BE50" s="694">
        <f t="shared" si="22"/>
        <v>25340973.800000008</v>
      </c>
      <c r="BF50" s="695">
        <f t="shared" si="23"/>
        <v>126704869.00000003</v>
      </c>
      <c r="BH50" s="697">
        <v>581261868</v>
      </c>
      <c r="BI50" s="698"/>
      <c r="BJ50" s="699">
        <f>SUM(BJ12:BJ49)</f>
        <v>123829787.60477099</v>
      </c>
      <c r="BK50" s="700">
        <f>SUM(BK12:BK49)</f>
        <v>2875081.3952290379</v>
      </c>
      <c r="BM50" s="675">
        <f>SUM(BM12:BM49)</f>
        <v>115809022.70477098</v>
      </c>
      <c r="BN50" s="701"/>
      <c r="BO50" s="702">
        <f>SUM(BO12:BO49)</f>
        <v>2875081.3952290369</v>
      </c>
      <c r="BP50" s="702">
        <f>SUM(BP12:BP49)</f>
        <v>126704869.00000003</v>
      </c>
      <c r="BQ50" s="703"/>
      <c r="BR50" s="106">
        <f>SUM(BR12:BR49)</f>
        <v>0</v>
      </c>
      <c r="BT50" s="704">
        <f>SUM(BT12:BT49)</f>
        <v>581261868</v>
      </c>
      <c r="BU50" s="705"/>
      <c r="BV50" s="706">
        <f>SUM(BV12:BV49)</f>
        <v>126704869.00000003</v>
      </c>
      <c r="BW50" s="707">
        <f t="shared" si="33"/>
        <v>0</v>
      </c>
      <c r="BX50" s="546"/>
      <c r="BY50" s="708">
        <f>SUM(BY12:BY49)</f>
        <v>118684104.10000002</v>
      </c>
      <c r="BZ50" s="709">
        <f t="shared" si="34"/>
        <v>1</v>
      </c>
      <c r="CA50" s="710">
        <f t="shared" si="35"/>
        <v>0</v>
      </c>
      <c r="CB50" s="711">
        <f>(CA50+BV50)</f>
        <v>126704869.00000003</v>
      </c>
      <c r="CC50" s="152">
        <f>CB50/BT50</f>
        <v>0.21798242061872194</v>
      </c>
      <c r="CD50" s="712">
        <f>SUM(CD12:CD49)</f>
        <v>0</v>
      </c>
      <c r="CE50" s="713"/>
      <c r="CF50" s="714">
        <f>SUM(CF12:CF49)</f>
        <v>174378560.39999998</v>
      </c>
      <c r="CG50" s="706">
        <f>SUM(CG12:CG49)</f>
        <v>0</v>
      </c>
      <c r="CH50" s="715">
        <f>SUM(CH12:CH49)</f>
        <v>126704869.00000003</v>
      </c>
      <c r="CI50" s="716">
        <f>AVERAGE(CI12:CI49)</f>
        <v>0.23322805535314575</v>
      </c>
      <c r="CL50" s="717">
        <f>SUM(CL12:CL49)</f>
        <v>547448.79999999993</v>
      </c>
      <c r="CM50" s="718">
        <f>SUM(CM12:CM49)</f>
        <v>127252317.80000004</v>
      </c>
      <c r="CN50" s="719">
        <f>AVERAGE(CN12:CN49)</f>
        <v>0.23361889045721676</v>
      </c>
    </row>
    <row r="51" spans="1:92">
      <c r="D51" s="720">
        <f>AVERAGE(D12:D49)</f>
        <v>14964707.815789474</v>
      </c>
      <c r="E51" s="720">
        <f>AVERAGE(E12:E49)</f>
        <v>1397238.6315789474</v>
      </c>
      <c r="K51" s="721">
        <f>AVERAGE(K12:K49)</f>
        <v>4.8736862031016734</v>
      </c>
      <c r="L51" s="721">
        <f t="shared" ref="L51:N51" si="51">AVERAGE(L12:L49)</f>
        <v>6.8331854539064567</v>
      </c>
      <c r="M51" s="721">
        <f t="shared" si="51"/>
        <v>8.2729538940413772</v>
      </c>
      <c r="N51" s="721">
        <f t="shared" si="51"/>
        <v>8.5800233737208753</v>
      </c>
      <c r="R51" s="721">
        <f>AVERAGE(R12:R49)</f>
        <v>0.37584484554163611</v>
      </c>
      <c r="S51" s="721">
        <f t="shared" ref="S51:U51" si="52">AVERAGE(S12:S49)</f>
        <v>0.54100760170548734</v>
      </c>
      <c r="T51" s="721">
        <f t="shared" si="52"/>
        <v>0.64431545738359186</v>
      </c>
      <c r="U51" s="721">
        <f t="shared" si="52"/>
        <v>0.6739147142552695</v>
      </c>
      <c r="Y51" s="721">
        <f>AVERAGE(Y12:Y49)</f>
        <v>82.06754014405621</v>
      </c>
      <c r="Z51" s="721">
        <f t="shared" ref="Z51:AB51" si="53">AVERAGE(Z12:Z49)</f>
        <v>84.962152406673823</v>
      </c>
      <c r="AA51" s="721">
        <f t="shared" si="53"/>
        <v>93.511420479531992</v>
      </c>
      <c r="AB51" s="721">
        <f t="shared" si="53"/>
        <v>94.719902370942293</v>
      </c>
      <c r="AF51" s="721">
        <f>AVERAGE(AF12:AF49)</f>
        <v>6.0664003092433267</v>
      </c>
      <c r="AG51" s="721">
        <f t="shared" ref="AG51:AI51" si="54">AVERAGE(AG12:AG49)</f>
        <v>6.0859045039594841</v>
      </c>
      <c r="AH51" s="721">
        <f t="shared" si="54"/>
        <v>6.5672789237355325</v>
      </c>
      <c r="AI51" s="721">
        <f t="shared" si="54"/>
        <v>6.6797427983568456</v>
      </c>
      <c r="AM51" s="721">
        <f>AVERAGE(AM12:AM49)</f>
        <v>22.008144443184023</v>
      </c>
      <c r="AN51" s="721">
        <f t="shared" ref="AN51:AP51" si="55">AVERAGE(AN12:AN49)</f>
        <v>18.054326929012014</v>
      </c>
      <c r="AO51" s="721">
        <f t="shared" si="55"/>
        <v>16.439491045081155</v>
      </c>
      <c r="AP51" s="721">
        <f t="shared" si="55"/>
        <v>17.043665062473256</v>
      </c>
    </row>
    <row r="52" spans="1:92">
      <c r="K52" s="721">
        <f>MEDIAN(K12:K49)</f>
        <v>4.1627626844288024</v>
      </c>
      <c r="L52" s="721">
        <f t="shared" ref="L52:N52" si="56">MEDIAN(L12:L49)</f>
        <v>4.6511658652739367</v>
      </c>
      <c r="M52" s="721">
        <f t="shared" si="56"/>
        <v>5.9071340809725843</v>
      </c>
      <c r="N52" s="721">
        <f t="shared" si="56"/>
        <v>5.7290779727708028</v>
      </c>
      <c r="R52" s="721">
        <f>MEDIAN(R12:R49)</f>
        <v>0.29296954807884334</v>
      </c>
      <c r="S52" s="721">
        <f t="shared" ref="S52:U52" si="57">MEDIAN(S12:S49)</f>
        <v>0.32144062674769547</v>
      </c>
      <c r="T52" s="721">
        <f t="shared" si="57"/>
        <v>0.3915501931750931</v>
      </c>
      <c r="U52" s="721">
        <f t="shared" si="57"/>
        <v>0.40319195477572267</v>
      </c>
      <c r="Y52" s="721">
        <f>MEDIAN(Y12:Y49)</f>
        <v>72.283353964002885</v>
      </c>
      <c r="Z52" s="721">
        <f t="shared" ref="Z52:AB52" si="58">MEDIAN(Z12:Z49)</f>
        <v>79.692156896673765</v>
      </c>
      <c r="AA52" s="721">
        <f t="shared" si="58"/>
        <v>90.706826622483561</v>
      </c>
      <c r="AB52" s="721">
        <f t="shared" si="58"/>
        <v>94.132905403569666</v>
      </c>
      <c r="AF52" s="721">
        <f>MEDIAN(AF12:AF49)</f>
        <v>6.2730825911655126</v>
      </c>
      <c r="AG52" s="721">
        <f t="shared" ref="AG52:AI52" si="59">MEDIAN(AG12:AG49)</f>
        <v>5.6719135623482089</v>
      </c>
      <c r="AH52" s="721">
        <f t="shared" si="59"/>
        <v>6.1721373831138662</v>
      </c>
      <c r="AI52" s="721">
        <f t="shared" si="59"/>
        <v>6.2977574692615663</v>
      </c>
      <c r="AM52" s="721">
        <f>MEDIAN(AM12:AM49)</f>
        <v>16.325093222295244</v>
      </c>
      <c r="AN52" s="721">
        <f t="shared" ref="AN52:AP52" si="60">MEDIAN(AN12:AN49)</f>
        <v>15.988307906533956</v>
      </c>
      <c r="AO52" s="721">
        <f t="shared" si="60"/>
        <v>15.544037303477563</v>
      </c>
      <c r="AP52" s="721">
        <f t="shared" si="60"/>
        <v>15.234265202089251</v>
      </c>
      <c r="CH52" s="672"/>
    </row>
    <row r="53" spans="1:92">
      <c r="B53" s="546">
        <v>1</v>
      </c>
      <c r="C53" s="546">
        <f>B53+1</f>
        <v>2</v>
      </c>
      <c r="D53" s="546">
        <f t="shared" ref="D53:BO53" si="61">C53+1</f>
        <v>3</v>
      </c>
      <c r="E53" s="546">
        <f t="shared" si="61"/>
        <v>4</v>
      </c>
      <c r="F53" s="546">
        <f t="shared" si="61"/>
        <v>5</v>
      </c>
      <c r="G53" s="546">
        <f t="shared" si="61"/>
        <v>6</v>
      </c>
      <c r="H53" s="546">
        <f t="shared" si="61"/>
        <v>7</v>
      </c>
      <c r="I53" s="546">
        <f t="shared" si="61"/>
        <v>8</v>
      </c>
      <c r="J53" s="546">
        <f t="shared" si="61"/>
        <v>9</v>
      </c>
      <c r="K53" s="546">
        <f t="shared" si="61"/>
        <v>10</v>
      </c>
      <c r="L53" s="546">
        <f t="shared" si="61"/>
        <v>11</v>
      </c>
      <c r="M53" s="546">
        <f t="shared" si="61"/>
        <v>12</v>
      </c>
      <c r="N53" s="546">
        <f t="shared" si="61"/>
        <v>13</v>
      </c>
      <c r="O53" s="546">
        <f t="shared" si="61"/>
        <v>14</v>
      </c>
      <c r="P53" s="546">
        <f t="shared" si="61"/>
        <v>15</v>
      </c>
      <c r="Q53" s="546">
        <f t="shared" si="61"/>
        <v>16</v>
      </c>
      <c r="R53" s="546">
        <f t="shared" si="61"/>
        <v>17</v>
      </c>
      <c r="S53" s="546">
        <f t="shared" si="61"/>
        <v>18</v>
      </c>
      <c r="T53" s="546">
        <f t="shared" si="61"/>
        <v>19</v>
      </c>
      <c r="U53" s="546">
        <f t="shared" si="61"/>
        <v>20</v>
      </c>
      <c r="V53" s="546">
        <f t="shared" si="61"/>
        <v>21</v>
      </c>
      <c r="W53" s="546">
        <f t="shared" si="61"/>
        <v>22</v>
      </c>
      <c r="X53" s="546">
        <f t="shared" si="61"/>
        <v>23</v>
      </c>
      <c r="Y53" s="546">
        <f t="shared" si="61"/>
        <v>24</v>
      </c>
      <c r="Z53" s="546">
        <f t="shared" si="61"/>
        <v>25</v>
      </c>
      <c r="AA53" s="546">
        <f t="shared" si="61"/>
        <v>26</v>
      </c>
      <c r="AB53" s="546">
        <f t="shared" si="61"/>
        <v>27</v>
      </c>
      <c r="AC53" s="546">
        <f t="shared" si="61"/>
        <v>28</v>
      </c>
      <c r="AD53" s="546">
        <f t="shared" si="61"/>
        <v>29</v>
      </c>
      <c r="AE53" s="546">
        <f t="shared" si="61"/>
        <v>30</v>
      </c>
      <c r="AF53" s="546">
        <f t="shared" si="61"/>
        <v>31</v>
      </c>
      <c r="AG53" s="546">
        <f t="shared" si="61"/>
        <v>32</v>
      </c>
      <c r="AH53" s="546">
        <f t="shared" si="61"/>
        <v>33</v>
      </c>
      <c r="AI53" s="546">
        <f t="shared" si="61"/>
        <v>34</v>
      </c>
      <c r="AJ53" s="546">
        <f t="shared" si="61"/>
        <v>35</v>
      </c>
      <c r="AK53" s="546">
        <f t="shared" si="61"/>
        <v>36</v>
      </c>
      <c r="AL53" s="546">
        <f t="shared" si="61"/>
        <v>37</v>
      </c>
      <c r="AM53" s="546">
        <f t="shared" si="61"/>
        <v>38</v>
      </c>
      <c r="AN53" s="546">
        <f t="shared" si="61"/>
        <v>39</v>
      </c>
      <c r="AO53" s="546">
        <f t="shared" si="61"/>
        <v>40</v>
      </c>
      <c r="AP53" s="546">
        <f t="shared" si="61"/>
        <v>41</v>
      </c>
      <c r="AQ53" s="546">
        <f t="shared" si="61"/>
        <v>42</v>
      </c>
      <c r="AR53" s="546">
        <f t="shared" si="61"/>
        <v>43</v>
      </c>
      <c r="AS53" s="546">
        <f t="shared" si="61"/>
        <v>44</v>
      </c>
      <c r="AT53" s="546">
        <f t="shared" si="61"/>
        <v>45</v>
      </c>
      <c r="AU53" s="546">
        <f t="shared" si="61"/>
        <v>46</v>
      </c>
      <c r="AV53" s="546">
        <f t="shared" si="61"/>
        <v>47</v>
      </c>
      <c r="AW53" s="546">
        <f t="shared" si="61"/>
        <v>48</v>
      </c>
      <c r="AX53" s="546">
        <f t="shared" si="61"/>
        <v>49</v>
      </c>
      <c r="AY53" s="546">
        <f t="shared" si="61"/>
        <v>50</v>
      </c>
      <c r="AZ53" s="546">
        <f t="shared" si="61"/>
        <v>51</v>
      </c>
      <c r="BA53" s="546">
        <f t="shared" si="61"/>
        <v>52</v>
      </c>
      <c r="BB53" s="546">
        <f t="shared" si="61"/>
        <v>53</v>
      </c>
      <c r="BC53" s="546">
        <f t="shared" si="61"/>
        <v>54</v>
      </c>
      <c r="BD53" s="546">
        <f t="shared" si="61"/>
        <v>55</v>
      </c>
      <c r="BE53" s="546">
        <f t="shared" si="61"/>
        <v>56</v>
      </c>
      <c r="BF53" s="546">
        <f t="shared" si="61"/>
        <v>57</v>
      </c>
      <c r="BG53" s="546">
        <f t="shared" si="61"/>
        <v>58</v>
      </c>
      <c r="BH53" s="546">
        <f t="shared" si="61"/>
        <v>59</v>
      </c>
      <c r="BI53" s="546">
        <f t="shared" si="61"/>
        <v>60</v>
      </c>
      <c r="BJ53" s="546">
        <f t="shared" si="61"/>
        <v>61</v>
      </c>
      <c r="BK53" s="546">
        <f t="shared" si="61"/>
        <v>62</v>
      </c>
      <c r="BL53" s="546">
        <f t="shared" si="61"/>
        <v>63</v>
      </c>
      <c r="BM53" s="546">
        <f t="shared" si="61"/>
        <v>64</v>
      </c>
      <c r="BN53" s="546">
        <f t="shared" si="61"/>
        <v>65</v>
      </c>
      <c r="BO53" s="546">
        <f t="shared" si="61"/>
        <v>66</v>
      </c>
      <c r="BP53" s="546">
        <f t="shared" ref="BP53:CH53" si="62">BO53+1</f>
        <v>67</v>
      </c>
      <c r="BQ53" s="546">
        <f t="shared" si="62"/>
        <v>68</v>
      </c>
      <c r="BR53" s="546">
        <f t="shared" si="62"/>
        <v>69</v>
      </c>
      <c r="BS53" s="546">
        <f t="shared" si="62"/>
        <v>70</v>
      </c>
      <c r="BT53" s="546">
        <f t="shared" si="62"/>
        <v>71</v>
      </c>
      <c r="BU53" s="546">
        <f t="shared" si="62"/>
        <v>72</v>
      </c>
      <c r="BV53" s="546">
        <f t="shared" si="62"/>
        <v>73</v>
      </c>
      <c r="BW53" s="546">
        <f t="shared" si="62"/>
        <v>74</v>
      </c>
      <c r="BX53" s="546">
        <f t="shared" si="62"/>
        <v>75</v>
      </c>
      <c r="BY53" s="546">
        <f t="shared" si="62"/>
        <v>76</v>
      </c>
      <c r="BZ53" s="546">
        <f t="shared" si="62"/>
        <v>77</v>
      </c>
      <c r="CA53" s="546">
        <f t="shared" si="62"/>
        <v>78</v>
      </c>
      <c r="CB53" s="546">
        <f t="shared" si="62"/>
        <v>79</v>
      </c>
      <c r="CC53" s="546">
        <f t="shared" si="62"/>
        <v>80</v>
      </c>
      <c r="CD53" s="546">
        <f t="shared" si="62"/>
        <v>81</v>
      </c>
      <c r="CE53" s="546">
        <f t="shared" si="62"/>
        <v>82</v>
      </c>
      <c r="CF53" s="546">
        <f t="shared" si="62"/>
        <v>83</v>
      </c>
      <c r="CG53" s="546">
        <f t="shared" si="62"/>
        <v>84</v>
      </c>
      <c r="CH53" s="546">
        <f t="shared" si="62"/>
        <v>85</v>
      </c>
    </row>
  </sheetData>
  <autoFilter ref="A11:CB11" xr:uid="{00000000-0001-0000-0F00-000000000000}"/>
  <mergeCells count="11">
    <mergeCell ref="CF3:CI3"/>
    <mergeCell ref="CL3:CM3"/>
    <mergeCell ref="AU5:AY5"/>
    <mergeCell ref="A9:A11"/>
    <mergeCell ref="B9:B11"/>
    <mergeCell ref="D3:I3"/>
    <mergeCell ref="K3:AS3"/>
    <mergeCell ref="AU3:AY3"/>
    <mergeCell ref="BA3:BF3"/>
    <mergeCell ref="BH3:BR3"/>
    <mergeCell ref="BT3:CD3"/>
  </mergeCells>
  <conditionalFormatting sqref="BI12:BI49">
    <cfRule type="cellIs" dxfId="6" priority="3" operator="greaterThan">
      <formula>$BJ$6</formula>
    </cfRule>
  </conditionalFormatting>
  <conditionalFormatting sqref="BQ12:BQ49">
    <cfRule type="cellIs" dxfId="5" priority="5" operator="greaterThan">
      <formula>$BJ$6</formula>
    </cfRule>
  </conditionalFormatting>
  <conditionalFormatting sqref="BR12:BR49 CD12:CE49">
    <cfRule type="cellIs" dxfId="4" priority="6" operator="greaterThan">
      <formula>0</formula>
    </cfRule>
  </conditionalFormatting>
  <conditionalFormatting sqref="CC12:CC49">
    <cfRule type="cellIs" dxfId="3" priority="4" operator="greaterThan">
      <formula>$BJ$6</formula>
    </cfRule>
  </conditionalFormatting>
  <conditionalFormatting sqref="CI12:CI49">
    <cfRule type="cellIs" dxfId="2" priority="1" operator="equal">
      <formula>$BJ$6</formula>
    </cfRule>
    <cfRule type="cellIs" dxfId="1" priority="2" operator="greaterThan">
      <formula>$BJ$6</formula>
    </cfRule>
  </conditionalFormatting>
  <printOptions horizontalCentered="1"/>
  <pageMargins left="0.25" right="0.25" top="0.75" bottom="0.75" header="0.3" footer="0.3"/>
  <pageSetup paperSize="17" scale="18" orientation="landscape" r:id="rId1"/>
  <headerFooter alignWithMargins="0">
    <oddFooter>&amp;L&amp;F&amp;R&amp;D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24B15-BF4E-406C-914C-3E0C5C274C3A}">
  <sheetPr>
    <pageSetUpPr fitToPage="1"/>
  </sheetPr>
  <dimension ref="A1:CD56"/>
  <sheetViews>
    <sheetView zoomScale="60" zoomScaleNormal="60" workbookViewId="0">
      <pane xSplit="2" topLeftCell="AZ1" activePane="topRight" state="frozen"/>
      <selection activeCell="F1" sqref="A1:F1048576"/>
      <selection pane="topRight" activeCell="F1" sqref="A1:F1048576"/>
    </sheetView>
  </sheetViews>
  <sheetFormatPr defaultColWidth="9.42578125" defaultRowHeight="14.25"/>
  <cols>
    <col min="1" max="1" width="13.42578125" style="543" customWidth="1"/>
    <col min="2" max="2" width="40.140625" style="546" customWidth="1"/>
    <col min="3" max="3" width="21.42578125" style="546" customWidth="1"/>
    <col min="4" max="4" width="17.42578125" style="546" customWidth="1"/>
    <col min="5" max="5" width="14.42578125" style="546" customWidth="1"/>
    <col min="6" max="6" width="13.5703125" style="546" customWidth="1"/>
    <col min="7" max="7" width="9.42578125" style="546" customWidth="1"/>
    <col min="8" max="8" width="17.42578125" style="2" customWidth="1"/>
    <col min="9" max="9" width="9.42578125" style="546" customWidth="1"/>
    <col min="10" max="10" width="8.5703125" style="546" customWidth="1"/>
    <col min="11" max="11" width="11.5703125" style="546" customWidth="1"/>
    <col min="12" max="13" width="8.5703125" style="546" customWidth="1"/>
    <col min="14" max="16" width="15.5703125" style="546" customWidth="1"/>
    <col min="17" max="20" width="8.5703125" style="546" customWidth="1"/>
    <col min="21" max="22" width="15.5703125" style="546" customWidth="1"/>
    <col min="23" max="23" width="15.5703125" style="549" customWidth="1"/>
    <col min="24" max="27" width="10.5703125" style="546" customWidth="1"/>
    <col min="28" max="29" width="15.5703125" style="546" customWidth="1"/>
    <col min="30" max="30" width="15.5703125" style="549" customWidth="1"/>
    <col min="31" max="34" width="8.5703125" style="546" customWidth="1"/>
    <col min="35" max="36" width="15.5703125" style="546" customWidth="1"/>
    <col min="37" max="37" width="15.5703125" style="549" customWidth="1"/>
    <col min="38" max="40" width="8.5703125" style="546" customWidth="1"/>
    <col min="41" max="41" width="9.42578125" style="546" customWidth="1"/>
    <col min="42" max="43" width="15.5703125" style="546" customWidth="1"/>
    <col min="44" max="44" width="15.5703125" style="549" customWidth="1"/>
    <col min="45" max="45" width="9.42578125" style="546" customWidth="1"/>
    <col min="46" max="50" width="17.5703125" style="546" customWidth="1"/>
    <col min="51" max="51" width="9.42578125" style="546" customWidth="1"/>
    <col min="52" max="52" width="20.42578125" style="546" customWidth="1"/>
    <col min="53" max="57" width="17.5703125" style="546" customWidth="1"/>
    <col min="58" max="58" width="14.42578125" style="546" bestFit="1" customWidth="1"/>
    <col min="59" max="59" width="19.140625" style="550" customWidth="1"/>
    <col min="60" max="60" width="18.5703125" style="546" customWidth="1"/>
    <col min="61" max="61" width="23.5703125" style="546" customWidth="1"/>
    <col min="62" max="62" width="15" style="546" customWidth="1"/>
    <col min="63" max="63" width="9.42578125" style="546" customWidth="1"/>
    <col min="64" max="65" width="21.5703125" style="546" customWidth="1"/>
    <col min="66" max="66" width="18.42578125" style="546" customWidth="1"/>
    <col min="67" max="67" width="18.42578125" style="551" customWidth="1"/>
    <col min="68" max="68" width="10" style="546" customWidth="1"/>
    <col min="69" max="69" width="23.5703125" style="546" customWidth="1"/>
    <col min="70" max="70" width="12.42578125" style="546" customWidth="1"/>
    <col min="71" max="71" width="14.85546875" style="546" customWidth="1"/>
    <col min="72" max="72" width="15.140625" style="546" customWidth="1"/>
    <col min="73" max="73" width="18.42578125" style="546" customWidth="1"/>
    <col min="74" max="74" width="15.85546875" style="546" customWidth="1"/>
    <col min="75" max="75" width="9.42578125" style="546" customWidth="1"/>
    <col min="76" max="77" width="21.5703125" style="546" customWidth="1"/>
    <col min="78" max="78" width="18.42578125" style="546" customWidth="1"/>
    <col min="79" max="79" width="18.42578125" style="551" customWidth="1"/>
    <col min="80" max="80" width="9.42578125" style="546"/>
    <col min="81" max="81" width="9.42578125" style="552"/>
    <col min="82" max="82" width="18.42578125" style="546" customWidth="1"/>
    <col min="83" max="16384" width="9.42578125" style="546"/>
  </cols>
  <sheetData>
    <row r="1" spans="1:82" ht="15" customHeight="1">
      <c r="A1" s="724"/>
      <c r="C1" s="725" t="s">
        <v>349</v>
      </c>
      <c r="F1" s="726"/>
      <c r="BL1" s="727" t="s">
        <v>350</v>
      </c>
      <c r="BX1" s="1192" t="s">
        <v>351</v>
      </c>
      <c r="BY1" s="1192"/>
      <c r="BZ1" s="1192"/>
      <c r="CA1" s="1192"/>
    </row>
    <row r="2" spans="1:82" ht="15" customHeight="1">
      <c r="B2" s="544"/>
      <c r="C2" s="728">
        <v>0</v>
      </c>
      <c r="D2" s="8"/>
      <c r="E2" s="543"/>
      <c r="F2" s="729"/>
      <c r="H2" s="9"/>
      <c r="L2" s="547"/>
      <c r="N2" s="548"/>
      <c r="O2" s="548"/>
      <c r="R2" s="547"/>
      <c r="Y2" s="547"/>
      <c r="AF2" s="547"/>
      <c r="AM2" s="547"/>
    </row>
    <row r="3" spans="1:82" ht="15" customHeight="1">
      <c r="B3" s="544"/>
      <c r="C3" s="730" t="s">
        <v>248</v>
      </c>
      <c r="D3" s="731"/>
      <c r="E3" s="732"/>
      <c r="F3" s="733"/>
      <c r="H3" s="9"/>
      <c r="L3" s="547"/>
      <c r="N3" s="548"/>
      <c r="O3" s="548"/>
      <c r="R3" s="547"/>
      <c r="Y3" s="547"/>
      <c r="AF3" s="547"/>
      <c r="AM3" s="547"/>
      <c r="AT3" s="734" t="s">
        <v>249</v>
      </c>
      <c r="AU3" s="735"/>
      <c r="AV3" s="735"/>
      <c r="AW3" s="735"/>
      <c r="AX3" s="736"/>
      <c r="AZ3" s="558" t="s">
        <v>250</v>
      </c>
      <c r="BI3" s="558" t="s">
        <v>251</v>
      </c>
      <c r="BM3" s="558" t="s">
        <v>253</v>
      </c>
      <c r="BY3" s="558" t="s">
        <v>253</v>
      </c>
    </row>
    <row r="4" spans="1:82">
      <c r="B4" s="560"/>
      <c r="C4" s="561">
        <v>0.5</v>
      </c>
      <c r="D4" s="561">
        <v>0.3</v>
      </c>
      <c r="E4" s="561">
        <v>0.1</v>
      </c>
      <c r="F4" s="561">
        <v>0.1</v>
      </c>
      <c r="H4" s="9"/>
      <c r="L4" s="547"/>
      <c r="N4" s="548"/>
      <c r="O4" s="548"/>
      <c r="R4" s="547"/>
      <c r="Y4" s="547"/>
      <c r="AF4" s="547"/>
      <c r="AM4" s="547"/>
      <c r="AT4" s="562">
        <v>0.2</v>
      </c>
      <c r="AU4" s="562">
        <v>0.2</v>
      </c>
      <c r="AV4" s="562">
        <v>0.2</v>
      </c>
      <c r="AW4" s="562">
        <v>0.2</v>
      </c>
      <c r="AX4" s="562">
        <v>0.2</v>
      </c>
      <c r="AY4" s="563"/>
      <c r="AZ4" s="564">
        <v>128674211</v>
      </c>
      <c r="BA4" s="546" t="s">
        <v>332</v>
      </c>
      <c r="BI4" s="565">
        <v>0.3</v>
      </c>
      <c r="BM4" s="566">
        <f>$BJ$49</f>
        <v>2708442.6897028498</v>
      </c>
      <c r="BY4" s="566">
        <f>BV49</f>
        <v>0.89999999105930328</v>
      </c>
    </row>
    <row r="5" spans="1:82" ht="15" customHeight="1" thickBot="1">
      <c r="A5" s="572" t="s">
        <v>352</v>
      </c>
      <c r="G5" s="737"/>
    </row>
    <row r="6" spans="1:82" s="563" customFormat="1">
      <c r="A6" s="738"/>
      <c r="B6" s="739"/>
      <c r="C6" s="575" t="s">
        <v>259</v>
      </c>
      <c r="D6" s="576"/>
      <c r="E6" s="576"/>
      <c r="F6" s="576"/>
      <c r="G6" s="577"/>
      <c r="H6" s="740"/>
      <c r="J6" s="580" t="s">
        <v>260</v>
      </c>
      <c r="K6" s="578"/>
      <c r="L6" s="578"/>
      <c r="M6" s="578"/>
      <c r="N6" s="578"/>
      <c r="O6" s="578"/>
      <c r="P6" s="579"/>
      <c r="Q6" s="580" t="s">
        <v>261</v>
      </c>
      <c r="R6" s="578"/>
      <c r="S6" s="578"/>
      <c r="T6" s="578"/>
      <c r="U6" s="578"/>
      <c r="V6" s="578"/>
      <c r="W6" s="579"/>
      <c r="X6" s="580" t="s">
        <v>262</v>
      </c>
      <c r="Y6" s="578"/>
      <c r="Z6" s="578"/>
      <c r="AA6" s="578"/>
      <c r="AB6" s="578"/>
      <c r="AC6" s="578"/>
      <c r="AD6" s="579"/>
      <c r="AE6" s="580" t="s">
        <v>263</v>
      </c>
      <c r="AF6" s="578"/>
      <c r="AG6" s="578"/>
      <c r="AH6" s="578"/>
      <c r="AI6" s="578"/>
      <c r="AJ6" s="578"/>
      <c r="AK6" s="579"/>
      <c r="AL6" s="580" t="s">
        <v>264</v>
      </c>
      <c r="AM6" s="578"/>
      <c r="AN6" s="578"/>
      <c r="AO6" s="578"/>
      <c r="AP6" s="578"/>
      <c r="AQ6" s="578"/>
      <c r="AR6" s="579"/>
      <c r="AZ6" s="581"/>
      <c r="BA6" s="581"/>
      <c r="BB6" s="581"/>
      <c r="BC6" s="581"/>
      <c r="BD6" s="581"/>
      <c r="BG6" s="582"/>
      <c r="BL6" s="583" t="s">
        <v>265</v>
      </c>
      <c r="BM6" s="583"/>
      <c r="BN6" s="583"/>
      <c r="BO6" s="584" t="s">
        <v>353</v>
      </c>
      <c r="BP6" s="741">
        <f>AZ4-BO49</f>
        <v>3</v>
      </c>
      <c r="BX6" s="583" t="s">
        <v>265</v>
      </c>
      <c r="BY6" s="583"/>
      <c r="BZ6" s="583"/>
      <c r="CA6" s="584" t="s">
        <v>353</v>
      </c>
      <c r="CC6" s="742"/>
    </row>
    <row r="7" spans="1:82" s="563" customFormat="1" ht="15" thickBot="1">
      <c r="A7" s="743"/>
      <c r="B7" s="744" t="s">
        <v>354</v>
      </c>
      <c r="C7" s="586">
        <f>C$4</f>
        <v>0.5</v>
      </c>
      <c r="D7" s="586">
        <f>D$4</f>
        <v>0.3</v>
      </c>
      <c r="E7" s="586">
        <f>E$4</f>
        <v>0.1</v>
      </c>
      <c r="F7" s="586">
        <f>F$4</f>
        <v>0.1</v>
      </c>
      <c r="G7" s="586"/>
      <c r="H7" s="745"/>
      <c r="J7" s="591" t="s">
        <v>266</v>
      </c>
      <c r="K7" s="589"/>
      <c r="L7" s="589"/>
      <c r="M7" s="589"/>
      <c r="N7" s="589"/>
      <c r="O7" s="589"/>
      <c r="P7" s="590"/>
      <c r="Q7" s="591" t="s">
        <v>267</v>
      </c>
      <c r="R7" s="589"/>
      <c r="S7" s="589"/>
      <c r="T7" s="589"/>
      <c r="U7" s="589"/>
      <c r="V7" s="589"/>
      <c r="W7" s="590"/>
      <c r="X7" s="591" t="s">
        <v>268</v>
      </c>
      <c r="Y7" s="589"/>
      <c r="Z7" s="589"/>
      <c r="AA7" s="589"/>
      <c r="AB7" s="589"/>
      <c r="AC7" s="589"/>
      <c r="AD7" s="590"/>
      <c r="AE7" s="591" t="s">
        <v>269</v>
      </c>
      <c r="AF7" s="589"/>
      <c r="AG7" s="589"/>
      <c r="AH7" s="589"/>
      <c r="AI7" s="589"/>
      <c r="AJ7" s="589"/>
      <c r="AK7" s="590"/>
      <c r="AL7" s="591" t="s">
        <v>270</v>
      </c>
      <c r="AM7" s="589"/>
      <c r="AN7" s="589"/>
      <c r="AO7" s="589"/>
      <c r="AP7" s="589"/>
      <c r="AQ7" s="589"/>
      <c r="AR7" s="590"/>
      <c r="BG7" s="746" t="s">
        <v>355</v>
      </c>
      <c r="BL7" s="746" t="s">
        <v>356</v>
      </c>
      <c r="BO7" s="747"/>
      <c r="BS7" s="746" t="s">
        <v>357</v>
      </c>
      <c r="BX7" s="746" t="s">
        <v>358</v>
      </c>
      <c r="CA7" s="747"/>
      <c r="CC7" s="742"/>
    </row>
    <row r="8" spans="1:82" s="599" customFormat="1" ht="101.25" customHeight="1">
      <c r="A8" s="748" t="s">
        <v>210</v>
      </c>
      <c r="B8" s="749" t="s">
        <v>21</v>
      </c>
      <c r="C8" s="597" t="s">
        <v>359</v>
      </c>
      <c r="D8" s="598" t="s">
        <v>360</v>
      </c>
      <c r="E8" s="598" t="s">
        <v>361</v>
      </c>
      <c r="F8" s="598" t="s">
        <v>362</v>
      </c>
      <c r="G8" s="598" t="s">
        <v>280</v>
      </c>
      <c r="H8" s="750" t="s">
        <v>281</v>
      </c>
      <c r="J8" s="601">
        <v>2019</v>
      </c>
      <c r="K8" s="601">
        <v>2021</v>
      </c>
      <c r="L8" s="601">
        <v>2022</v>
      </c>
      <c r="M8" s="601">
        <v>2023</v>
      </c>
      <c r="N8" s="602" t="s">
        <v>282</v>
      </c>
      <c r="O8" s="602" t="s">
        <v>283</v>
      </c>
      <c r="P8" s="603" t="s">
        <v>284</v>
      </c>
      <c r="Q8" s="601">
        <v>2019</v>
      </c>
      <c r="R8" s="601">
        <v>2021</v>
      </c>
      <c r="S8" s="601">
        <v>2022</v>
      </c>
      <c r="T8" s="601">
        <v>2023</v>
      </c>
      <c r="U8" s="602" t="s">
        <v>285</v>
      </c>
      <c r="V8" s="602" t="s">
        <v>286</v>
      </c>
      <c r="W8" s="603" t="s">
        <v>284</v>
      </c>
      <c r="X8" s="601">
        <v>2019</v>
      </c>
      <c r="Y8" s="601">
        <v>2021</v>
      </c>
      <c r="Z8" s="601">
        <v>2022</v>
      </c>
      <c r="AA8" s="601">
        <v>2023</v>
      </c>
      <c r="AB8" s="602" t="s">
        <v>287</v>
      </c>
      <c r="AC8" s="602" t="s">
        <v>288</v>
      </c>
      <c r="AD8" s="603" t="s">
        <v>284</v>
      </c>
      <c r="AE8" s="601">
        <v>2019</v>
      </c>
      <c r="AF8" s="601">
        <v>2021</v>
      </c>
      <c r="AG8" s="601">
        <v>2022</v>
      </c>
      <c r="AH8" s="601">
        <v>2023</v>
      </c>
      <c r="AI8" s="602" t="s">
        <v>289</v>
      </c>
      <c r="AJ8" s="602" t="s">
        <v>290</v>
      </c>
      <c r="AK8" s="603" t="s">
        <v>284</v>
      </c>
      <c r="AL8" s="601">
        <v>2019</v>
      </c>
      <c r="AM8" s="601">
        <v>2021</v>
      </c>
      <c r="AN8" s="601">
        <v>2022</v>
      </c>
      <c r="AO8" s="601">
        <v>2023</v>
      </c>
      <c r="AP8" s="602" t="s">
        <v>291</v>
      </c>
      <c r="AQ8" s="602" t="s">
        <v>292</v>
      </c>
      <c r="AR8" s="603" t="s">
        <v>284</v>
      </c>
      <c r="AT8" s="751" t="s">
        <v>293</v>
      </c>
      <c r="AU8" s="606" t="s">
        <v>294</v>
      </c>
      <c r="AV8" s="606" t="s">
        <v>295</v>
      </c>
      <c r="AW8" s="606" t="s">
        <v>296</v>
      </c>
      <c r="AX8" s="752" t="s">
        <v>297</v>
      </c>
      <c r="AZ8" s="753" t="s">
        <v>298</v>
      </c>
      <c r="BA8" s="609" t="s">
        <v>299</v>
      </c>
      <c r="BB8" s="609" t="s">
        <v>300</v>
      </c>
      <c r="BC8" s="609" t="s">
        <v>301</v>
      </c>
      <c r="BD8" s="609" t="s">
        <v>302</v>
      </c>
      <c r="BE8" s="754" t="s">
        <v>363</v>
      </c>
      <c r="BG8" s="755" t="s">
        <v>304</v>
      </c>
      <c r="BH8" s="612" t="s">
        <v>305</v>
      </c>
      <c r="BI8" s="612" t="s">
        <v>306</v>
      </c>
      <c r="BJ8" s="615" t="s">
        <v>307</v>
      </c>
      <c r="BL8" s="755" t="s">
        <v>308</v>
      </c>
      <c r="BM8" s="612" t="s">
        <v>309</v>
      </c>
      <c r="BN8" s="612" t="s">
        <v>310</v>
      </c>
      <c r="BO8" s="756" t="s">
        <v>364</v>
      </c>
      <c r="BQ8" s="757" t="s">
        <v>313</v>
      </c>
      <c r="BS8" s="758" t="s">
        <v>304</v>
      </c>
      <c r="BT8" s="617" t="s">
        <v>305</v>
      </c>
      <c r="BU8" s="617" t="s">
        <v>306</v>
      </c>
      <c r="BV8" s="759" t="s">
        <v>307</v>
      </c>
      <c r="BX8" s="760" t="s">
        <v>308</v>
      </c>
      <c r="BY8" s="761" t="s">
        <v>309</v>
      </c>
      <c r="BZ8" s="761" t="s">
        <v>310</v>
      </c>
      <c r="CA8" s="762" t="s">
        <v>364</v>
      </c>
      <c r="CC8" s="742" t="s">
        <v>365</v>
      </c>
    </row>
    <row r="9" spans="1:82">
      <c r="A9" s="763" t="s">
        <v>219</v>
      </c>
      <c r="B9" s="764" t="s">
        <v>23</v>
      </c>
      <c r="C9" s="627">
        <v>2496704</v>
      </c>
      <c r="D9" s="175">
        <v>121717</v>
      </c>
      <c r="E9" s="175">
        <v>32940</v>
      </c>
      <c r="F9" s="175">
        <v>692104</v>
      </c>
      <c r="G9" s="765">
        <f t="shared" ref="G9:G31" si="0">IFERROR($C$7*(C9/C$49),0) + IFERROR($D$7*(D9/D$49),0) + IFERROR($E$7*(E9/E$49),0) + IFERROR($F$7*(F9/F$49),0)</f>
        <v>4.9740597908124393E-3</v>
      </c>
      <c r="H9" s="766">
        <f t="shared" ref="H9:H31" si="1">G9/(SUM($G$9:$G$48)-$G$32)*(1-$G$32)</f>
        <v>4.9740597908124393E-3</v>
      </c>
      <c r="J9" s="767">
        <v>4.5693508022964817</v>
      </c>
      <c r="K9" s="768">
        <v>3.0233116215289679</v>
      </c>
      <c r="L9" s="768">
        <v>3.1691372472531043</v>
      </c>
      <c r="M9" s="768">
        <v>3.6951123254401943</v>
      </c>
      <c r="N9" s="769">
        <f t="shared" ref="N9:N48" si="2">IF(J9=0,IF(K9=0,1,AVERAGE(1,(L9/K9)/($L$49/$K$49),(M9/L9)/($M$49/$L$49))), AVERAGE((K9/J9)/($K$49/$J$49),(L9/K9)/($L$49/$K$49),(M9/L9)/($M$49/$L$49)))</f>
        <v>1.0255640826158483</v>
      </c>
      <c r="O9" s="770">
        <f t="shared" ref="O9:O48" si="3">$H9*N9</f>
        <v>5.101217066240938E-3</v>
      </c>
      <c r="P9" s="771">
        <f t="shared" ref="P9:P48" si="4">O9/SUM($O$9:$O$48)</f>
        <v>4.8308586855651744E-3</v>
      </c>
      <c r="Q9" s="767">
        <v>0.21529352848722441</v>
      </c>
      <c r="R9" s="768">
        <v>0.1472857600940598</v>
      </c>
      <c r="S9" s="768">
        <v>0.15372497942218116</v>
      </c>
      <c r="T9" s="768">
        <v>0.17586518789083722</v>
      </c>
      <c r="U9" s="769">
        <f t="shared" ref="U9:U48" si="5">IF(Q9=0,IF(R9=0,1,AVERAGE(1,(S9/R9)/($S$49/$R$49),(T9/S9)/($T$49/$S$49))), AVERAGE((R9/Q9)/($R$49/$Q$49),(S9/R9)/($S$49/$R$49),(T9/S9)/($T$49/$S$49)))</f>
        <v>1.0325415201368429</v>
      </c>
      <c r="V9" s="770">
        <f t="shared" ref="V9:V48" si="6">$H9*U9</f>
        <v>5.135923257657023E-3</v>
      </c>
      <c r="W9" s="771">
        <f t="shared" ref="W9:W48" si="7">V9/SUM($V$9:$V$48)</f>
        <v>4.883393695451827E-3</v>
      </c>
      <c r="X9" s="767">
        <v>50.181245399676136</v>
      </c>
      <c r="Y9" s="768">
        <v>64.628076791223862</v>
      </c>
      <c r="Z9" s="768">
        <v>74.945094597230351</v>
      </c>
      <c r="AA9" s="768">
        <v>75.894444444444446</v>
      </c>
      <c r="AB9" s="769">
        <f t="shared" ref="AB9:AB48" si="8">IF(X9=0,IF(Y9=0,1,AVERAGE(1,(Z9/Y9)/($Z$49/$Z$49),(AA9/Z9)/($AA$49/$Z$49))), AVERAGE((Y9/X9)/($Y$49/$X$49),(Z9/Y9)/($Z$49/$Y$49),(AA9/Z9)/($AA$49/$Z$49)))</f>
        <v>1.0999423299281934</v>
      </c>
      <c r="AC9" s="770">
        <f t="shared" ref="AC9:AC48" si="9">$H9*(1/AB9)</f>
        <v>4.5221096192717266E-3</v>
      </c>
      <c r="AD9" s="771">
        <f t="shared" ref="AD9:AD48" si="10">AC9/SUM($AC$9:$AC$48)</f>
        <v>4.8232958046531714E-3</v>
      </c>
      <c r="AE9" s="767">
        <v>2.3643834438252824</v>
      </c>
      <c r="AF9" s="768">
        <v>3.148466517916789</v>
      </c>
      <c r="AG9" s="768">
        <v>3.6353531658304137</v>
      </c>
      <c r="AH9" s="768">
        <v>3.61212043276733</v>
      </c>
      <c r="AI9" s="769">
        <f t="shared" ref="AI9:AI48" si="11">IF(AE9=0,IF(AF9=0,1,AVERAGE(1,(AG9/AF9)/($AG$49/$AF$49),(AH9/AG9)/($AH$49/$AG$49))), AVERAGE((AF9/AE9)/($AF$49/$AE$49),(AG9/AF9)/($AG$49/$AF$49),(AH9/AG9)/($AH$49/$AG$49)))</f>
        <v>1.1070146946084785</v>
      </c>
      <c r="AJ9" s="770">
        <f t="shared" ref="AJ9:AJ48" si="12">$H9*(1/AI9)</f>
        <v>4.4932192996513303E-3</v>
      </c>
      <c r="AK9" s="771">
        <f t="shared" ref="AK9:AK48" si="13">AJ9/SUM($AJ$9:$AJ$48)</f>
        <v>4.7802063603686346E-3</v>
      </c>
      <c r="AL9" s="767">
        <v>10.982138945089499</v>
      </c>
      <c r="AM9" s="768">
        <v>21.37658464678535</v>
      </c>
      <c r="AN9" s="768">
        <v>23.64842187323698</v>
      </c>
      <c r="AO9" s="768">
        <v>20.53914408012028</v>
      </c>
      <c r="AP9" s="772">
        <f t="shared" ref="AP9:AP48" si="14">IF(AL9=0,IF(AM9=0,1,AVERAGE(1,(AN9/AM9)/($AN$49/$AM$49),(AO9/AN9)/($AO$49/$AN$49))), AVERAGE((AM9/AL9)/($AM$49/$AL$49),(AN9/AM9)/($AN$49/$AM$49),(AO9/AN9)/($AO$49/$AN$49)))</f>
        <v>1.1189482347230808</v>
      </c>
      <c r="AQ9" s="770">
        <f t="shared" ref="AQ9:AQ48" si="15">$H9*(1/AP9)</f>
        <v>4.4452992877221237E-3</v>
      </c>
      <c r="AR9" s="771">
        <f t="shared" ref="AR9:AR48" si="16">AQ9/SUM($AQ$9:$AQ$48)</f>
        <v>4.8277767852542234E-3</v>
      </c>
      <c r="AT9" s="773">
        <f>P9*AT$4</f>
        <v>9.6617173711303493E-4</v>
      </c>
      <c r="AU9" s="774">
        <f t="shared" ref="AU9:AU48" si="17">W9*AU$4</f>
        <v>9.7667873909036544E-4</v>
      </c>
      <c r="AV9" s="774">
        <f t="shared" ref="AV9:AV48" si="18">AD9*AV$4</f>
        <v>9.6465916093063436E-4</v>
      </c>
      <c r="AW9" s="774">
        <f t="shared" ref="AW9:AW48" si="19">AK9*AW$4</f>
        <v>9.5604127207372697E-4</v>
      </c>
      <c r="AX9" s="775">
        <f t="shared" ref="AX9:AX48" si="20">AR9*AX$4</f>
        <v>9.6555535705084472E-4</v>
      </c>
      <c r="AY9" s="776">
        <f>(SUM(AT9:AX9)-H9)/H9</f>
        <v>-2.9141894277502696E-2</v>
      </c>
      <c r="AZ9" s="777">
        <f t="shared" ref="AZ9:BD49" si="21">AT9*$AZ$4</f>
        <v>124321.38596351919</v>
      </c>
      <c r="BA9" s="778">
        <f t="shared" si="21"/>
        <v>125673.36615292763</v>
      </c>
      <c r="BB9" s="778">
        <f t="shared" si="21"/>
        <v>124126.7564166714</v>
      </c>
      <c r="BC9" s="778">
        <f t="shared" si="21"/>
        <v>123017.85636752316</v>
      </c>
      <c r="BD9" s="778">
        <f t="shared" si="21"/>
        <v>124242.07374534073</v>
      </c>
      <c r="BE9" s="779">
        <f t="shared" ref="BE9:BE49" si="22">SUM(AZ9:BD9)</f>
        <v>621381.43864598207</v>
      </c>
      <c r="BG9" s="780">
        <v>2499963</v>
      </c>
      <c r="BH9" s="781">
        <f t="shared" ref="BH9:BH48" si="23">BE9/BG9</f>
        <v>0.24855625409095336</v>
      </c>
      <c r="BI9" s="782">
        <f t="shared" ref="BI9:BI48" si="24">IF(BE9&gt;BG9*$BI$4,BG9*$BI$4,BE9)</f>
        <v>621381.43864598207</v>
      </c>
      <c r="BJ9" s="783">
        <f t="shared" ref="BJ9:BJ48" si="25">BE9-BI9</f>
        <v>0</v>
      </c>
      <c r="BL9" s="784">
        <f t="shared" ref="BL9:BL48" si="26">IF(OR(BJ9&gt;0,BH9&gt;=0.294),0,BI9)</f>
        <v>621381.43864598207</v>
      </c>
      <c r="BM9" s="781">
        <f t="shared" ref="BM9:BM48" si="27">BL9/$BL$49</f>
        <v>7.3076188100780516E-3</v>
      </c>
      <c r="BN9" s="785">
        <f t="shared" ref="BN9:BN48" si="28">BM9*$BM$4</f>
        <v>19792.266745290937</v>
      </c>
      <c r="BO9" s="783">
        <f>ROUND((BN9+BI9),0)</f>
        <v>641174</v>
      </c>
      <c r="BQ9" s="786">
        <f t="shared" ref="BQ9:BQ48" si="29">IF(BO9&gt;($BI$4*BG9),1,0)</f>
        <v>0</v>
      </c>
      <c r="BR9" s="548"/>
      <c r="BS9" s="780">
        <f>BG9</f>
        <v>2499963</v>
      </c>
      <c r="BT9" s="787">
        <f>BO9/BG9</f>
        <v>0.25647339580625794</v>
      </c>
      <c r="BU9" s="782">
        <f>IF(BO9&gt;BG9*$BI$4,BG9*$BI$4,BO9)</f>
        <v>641174</v>
      </c>
      <c r="BV9" s="788">
        <f>BO9-BU9</f>
        <v>0</v>
      </c>
      <c r="BX9" s="789">
        <f>IF(OR(BV9&gt;0,BT9&gt;=0.294),0,BU9)</f>
        <v>641174</v>
      </c>
      <c r="BY9" s="790">
        <f>BX9/$BX$49</f>
        <v>7.3076222628058142E-3</v>
      </c>
      <c r="BZ9" s="791">
        <f>BY9*$BY$4</f>
        <v>6.5768599711899982E-3</v>
      </c>
      <c r="CA9" s="792">
        <f>ROUND((BZ9+BU9),0)+2</f>
        <v>641176</v>
      </c>
      <c r="CC9" s="793">
        <f>CA9/BS9</f>
        <v>0.25647419581809811</v>
      </c>
      <c r="CD9" s="672"/>
    </row>
    <row r="10" spans="1:82">
      <c r="A10" s="794" t="s">
        <v>219</v>
      </c>
      <c r="B10" s="764" t="s">
        <v>27</v>
      </c>
      <c r="C10" s="627">
        <v>397573</v>
      </c>
      <c r="D10" s="175">
        <v>43762</v>
      </c>
      <c r="E10" s="175">
        <v>7886</v>
      </c>
      <c r="F10" s="175">
        <v>94333</v>
      </c>
      <c r="G10" s="795">
        <f t="shared" si="0"/>
        <v>9.804046365505803E-4</v>
      </c>
      <c r="H10" s="766">
        <f t="shared" si="1"/>
        <v>9.804046365505803E-4</v>
      </c>
      <c r="J10" s="767">
        <v>7.0756269072575293</v>
      </c>
      <c r="K10" s="768">
        <v>3.8435006435006436</v>
      </c>
      <c r="L10" s="768">
        <v>4.8354101054361225</v>
      </c>
      <c r="M10" s="768">
        <v>5.5493279229013446</v>
      </c>
      <c r="N10" s="769">
        <f t="shared" si="2"/>
        <v>0.99788982541066573</v>
      </c>
      <c r="O10" s="770">
        <f t="shared" si="3"/>
        <v>9.7833581159926576E-4</v>
      </c>
      <c r="P10" s="771">
        <f t="shared" si="4"/>
        <v>9.2648518804287663E-4</v>
      </c>
      <c r="Q10" s="767">
        <v>0.61203433791631279</v>
      </c>
      <c r="R10" s="768">
        <v>0.31931227680003421</v>
      </c>
      <c r="S10" s="768">
        <v>0.41985803797543603</v>
      </c>
      <c r="T10" s="768">
        <v>0.46390976646560589</v>
      </c>
      <c r="U10" s="769">
        <f t="shared" si="5"/>
        <v>0.98970909906924531</v>
      </c>
      <c r="V10" s="770">
        <f t="shared" si="6"/>
        <v>9.7031538956378577E-4</v>
      </c>
      <c r="W10" s="771">
        <f t="shared" si="7"/>
        <v>9.2260569682992477E-4</v>
      </c>
      <c r="X10" s="767">
        <v>54.185219583388616</v>
      </c>
      <c r="Y10" s="768">
        <v>108.14491634491634</v>
      </c>
      <c r="Z10" s="768">
        <v>62.039983568396551</v>
      </c>
      <c r="AA10" s="768">
        <v>50.572406796855184</v>
      </c>
      <c r="AB10" s="769">
        <f t="shared" si="8"/>
        <v>1.0275887811661744</v>
      </c>
      <c r="AC10" s="770">
        <f t="shared" si="9"/>
        <v>9.540826588608272E-4</v>
      </c>
      <c r="AD10" s="771">
        <f t="shared" si="10"/>
        <v>1.0176274511710934E-3</v>
      </c>
      <c r="AE10" s="767">
        <v>4.6869649046296509</v>
      </c>
      <c r="AF10" s="768">
        <v>8.9845176742296253</v>
      </c>
      <c r="AG10" s="768">
        <v>5.3869237994459436</v>
      </c>
      <c r="AH10" s="768">
        <v>4.2277251863080787</v>
      </c>
      <c r="AI10" s="769">
        <f t="shared" si="11"/>
        <v>1.0006231580562883</v>
      </c>
      <c r="AJ10" s="770">
        <f t="shared" si="12"/>
        <v>9.7979406998236732E-4</v>
      </c>
      <c r="AK10" s="771">
        <f t="shared" si="13"/>
        <v>1.0423746389464292E-3</v>
      </c>
      <c r="AL10" s="767">
        <v>7.6580097132892044</v>
      </c>
      <c r="AM10" s="768">
        <v>28.137088132869007</v>
      </c>
      <c r="AN10" s="768">
        <v>12.830345765015716</v>
      </c>
      <c r="AO10" s="768">
        <v>9.1132489374343031</v>
      </c>
      <c r="AP10" s="772">
        <f t="shared" si="14"/>
        <v>1.0148372723489094</v>
      </c>
      <c r="AQ10" s="770">
        <f t="shared" si="15"/>
        <v>9.6607078126069175E-4</v>
      </c>
      <c r="AR10" s="771">
        <f t="shared" si="16"/>
        <v>1.0491923690188045E-3</v>
      </c>
      <c r="AT10" s="773">
        <f t="shared" ref="AT10:AT48" si="30">P10*AT$4</f>
        <v>1.8529703760857534E-4</v>
      </c>
      <c r="AU10" s="774">
        <f t="shared" si="17"/>
        <v>1.8452113936598497E-4</v>
      </c>
      <c r="AV10" s="774">
        <f t="shared" si="18"/>
        <v>2.035254902342187E-4</v>
      </c>
      <c r="AW10" s="774">
        <f t="shared" si="19"/>
        <v>2.0847492778928585E-4</v>
      </c>
      <c r="AX10" s="775">
        <f t="shared" si="20"/>
        <v>2.0983847380376091E-4</v>
      </c>
      <c r="AY10" s="776">
        <f t="shared" ref="AY10:AY48" si="31">(SUM(AT10:AX10)-H10)/H10</f>
        <v>1.1477334798043777E-2</v>
      </c>
      <c r="AZ10" s="777">
        <f t="shared" si="21"/>
        <v>23842.950114920757</v>
      </c>
      <c r="BA10" s="778">
        <f t="shared" si="21"/>
        <v>23743.112020739158</v>
      </c>
      <c r="BB10" s="778">
        <f t="shared" si="21"/>
        <v>26188.481874276295</v>
      </c>
      <c r="BC10" s="778">
        <f t="shared" si="21"/>
        <v>26825.346846568333</v>
      </c>
      <c r="BD10" s="778">
        <f t="shared" si="21"/>
        <v>27000.800054143103</v>
      </c>
      <c r="BE10" s="779">
        <f t="shared" si="22"/>
        <v>127600.69091064765</v>
      </c>
      <c r="BG10" s="780">
        <v>398814</v>
      </c>
      <c r="BH10" s="781">
        <f t="shared" si="23"/>
        <v>0.31995038015377508</v>
      </c>
      <c r="BI10" s="782">
        <f t="shared" si="24"/>
        <v>119644.2</v>
      </c>
      <c r="BJ10" s="783">
        <f t="shared" si="25"/>
        <v>7956.4909106476553</v>
      </c>
      <c r="BL10" s="784">
        <f t="shared" si="26"/>
        <v>0</v>
      </c>
      <c r="BM10" s="781">
        <f t="shared" si="27"/>
        <v>0</v>
      </c>
      <c r="BN10" s="785">
        <f t="shared" si="28"/>
        <v>0</v>
      </c>
      <c r="BO10" s="796">
        <f>ROUND((BN10+BI10),0)</f>
        <v>119644</v>
      </c>
      <c r="BQ10" s="786">
        <f t="shared" si="29"/>
        <v>0</v>
      </c>
      <c r="BR10" s="548"/>
      <c r="BS10" s="780">
        <f t="shared" ref="BS10:BS48" si="32">BG10</f>
        <v>398814</v>
      </c>
      <c r="BT10" s="787">
        <f t="shared" ref="BT10:BT48" si="33">BO10/BG10</f>
        <v>0.29999949851309132</v>
      </c>
      <c r="BU10" s="782">
        <f t="shared" ref="BU10:BU48" si="34">IF(BO10&gt;BG10*$BI$4,BG10*$BI$4,BO10)</f>
        <v>119644</v>
      </c>
      <c r="BV10" s="788">
        <f t="shared" ref="BV10:BV49" si="35">BO10-BU10</f>
        <v>0</v>
      </c>
      <c r="BX10" s="789">
        <f t="shared" ref="BX10:BX48" si="36">IF(OR(BV10&gt;0,BT10&gt;=0.294),0,BU10)</f>
        <v>0</v>
      </c>
      <c r="BY10" s="790">
        <f t="shared" ref="BY10:BY49" si="37">BX10/$BX$49</f>
        <v>0</v>
      </c>
      <c r="BZ10" s="791">
        <f t="shared" ref="BZ10:BZ49" si="38">BY10*$BY$4</f>
        <v>0</v>
      </c>
      <c r="CA10" s="792">
        <f t="shared" ref="CA10:CA48" si="39">ROUND((BZ10+BU10),0)</f>
        <v>119644</v>
      </c>
      <c r="CC10" s="793">
        <f t="shared" ref="CC10:CC48" si="40">CA10/BS10</f>
        <v>0.29999949851309132</v>
      </c>
      <c r="CD10" s="672"/>
    </row>
    <row r="11" spans="1:82">
      <c r="A11" s="794" t="s">
        <v>219</v>
      </c>
      <c r="B11" s="764" t="s">
        <v>35</v>
      </c>
      <c r="C11" s="627">
        <v>2696243</v>
      </c>
      <c r="D11" s="175">
        <v>162649</v>
      </c>
      <c r="E11" s="175">
        <v>46711</v>
      </c>
      <c r="F11" s="175">
        <v>490148</v>
      </c>
      <c r="G11" s="765">
        <f t="shared" si="0"/>
        <v>5.4119463518538889E-3</v>
      </c>
      <c r="H11" s="766">
        <f t="shared" si="1"/>
        <v>5.4119463518538889E-3</v>
      </c>
      <c r="J11" s="767">
        <v>3.5903165735567972</v>
      </c>
      <c r="K11" s="768">
        <v>3.0037184124655352</v>
      </c>
      <c r="L11" s="768">
        <v>3.0190503841343577</v>
      </c>
      <c r="M11" s="768">
        <v>3.4820277878872212</v>
      </c>
      <c r="N11" s="769">
        <f t="shared" si="2"/>
        <v>1.1244143405144138</v>
      </c>
      <c r="O11" s="770">
        <f t="shared" si="3"/>
        <v>6.085270088119178E-3</v>
      </c>
      <c r="P11" s="771">
        <f t="shared" si="4"/>
        <v>5.7627580786055533E-3</v>
      </c>
      <c r="Q11" s="767">
        <v>0.34236028901498144</v>
      </c>
      <c r="R11" s="768">
        <v>0.30898734605406614</v>
      </c>
      <c r="S11" s="768">
        <v>0.30702858129224508</v>
      </c>
      <c r="T11" s="768">
        <v>0.33183650652455993</v>
      </c>
      <c r="U11" s="769">
        <f t="shared" si="5"/>
        <v>1.1412874554012273</v>
      </c>
      <c r="V11" s="770">
        <f t="shared" si="6"/>
        <v>6.1765864806752804E-3</v>
      </c>
      <c r="W11" s="771">
        <f t="shared" si="7"/>
        <v>5.8728882746006397E-3</v>
      </c>
      <c r="X11" s="767">
        <v>45.864958582161435</v>
      </c>
      <c r="Y11" s="768">
        <v>61.145979308425872</v>
      </c>
      <c r="Z11" s="768">
        <v>58.62645167053779</v>
      </c>
      <c r="AA11" s="768">
        <v>57.842499625355913</v>
      </c>
      <c r="AB11" s="769">
        <f t="shared" si="8"/>
        <v>1.0361763312133343</v>
      </c>
      <c r="AC11" s="770">
        <f t="shared" si="9"/>
        <v>5.2229974656115207E-3</v>
      </c>
      <c r="AD11" s="771">
        <f t="shared" si="10"/>
        <v>5.5708649025751188E-3</v>
      </c>
      <c r="AE11" s="767">
        <v>4.3735253296321996</v>
      </c>
      <c r="AF11" s="768">
        <v>6.2899817073329398</v>
      </c>
      <c r="AG11" s="768">
        <v>5.9621384184897162</v>
      </c>
      <c r="AH11" s="768">
        <v>5.5123778940238459</v>
      </c>
      <c r="AI11" s="769">
        <f t="shared" si="11"/>
        <v>1.0405282730301624</v>
      </c>
      <c r="AJ11" s="770">
        <f t="shared" si="12"/>
        <v>5.2011526184613435E-3</v>
      </c>
      <c r="AK11" s="771">
        <f t="shared" si="13"/>
        <v>5.5333561907263693E-3</v>
      </c>
      <c r="AL11" s="767">
        <v>12.774627986836457</v>
      </c>
      <c r="AM11" s="768">
        <v>20.356761490913378</v>
      </c>
      <c r="AN11" s="768">
        <v>19.418838446231348</v>
      </c>
      <c r="AO11" s="768">
        <v>16.611728322953109</v>
      </c>
      <c r="AP11" s="772">
        <f t="shared" si="14"/>
        <v>0.99855496234877406</v>
      </c>
      <c r="AQ11" s="770">
        <f t="shared" si="15"/>
        <v>5.4197781353207191E-3</v>
      </c>
      <c r="AR11" s="771">
        <f t="shared" si="16"/>
        <v>5.8861006581038553E-3</v>
      </c>
      <c r="AT11" s="773">
        <f t="shared" si="30"/>
        <v>1.1525516157211107E-3</v>
      </c>
      <c r="AU11" s="774">
        <f t="shared" si="17"/>
        <v>1.1745776549201281E-3</v>
      </c>
      <c r="AV11" s="774">
        <f t="shared" si="18"/>
        <v>1.1141729805150239E-3</v>
      </c>
      <c r="AW11" s="774">
        <f t="shared" si="19"/>
        <v>1.1066712381452739E-3</v>
      </c>
      <c r="AX11" s="775">
        <f t="shared" si="20"/>
        <v>1.1772201316207712E-3</v>
      </c>
      <c r="AY11" s="776">
        <f t="shared" si="31"/>
        <v>5.7880704778441691E-2</v>
      </c>
      <c r="AZ11" s="777">
        <f t="shared" si="21"/>
        <v>148303.66978968913</v>
      </c>
      <c r="BA11" s="778">
        <f t="shared" si="21"/>
        <v>151137.85300507775</v>
      </c>
      <c r="BB11" s="778">
        <f t="shared" si="21"/>
        <v>143365.32918528907</v>
      </c>
      <c r="BC11" s="778">
        <f t="shared" si="21"/>
        <v>142400.04840473624</v>
      </c>
      <c r="BD11" s="778">
        <f t="shared" si="21"/>
        <v>151477.87160961889</v>
      </c>
      <c r="BE11" s="779">
        <f t="shared" si="22"/>
        <v>736684.77199441101</v>
      </c>
      <c r="BG11" s="780">
        <v>2701881</v>
      </c>
      <c r="BH11" s="781">
        <f t="shared" si="23"/>
        <v>0.27265626132106152</v>
      </c>
      <c r="BI11" s="782">
        <f t="shared" si="24"/>
        <v>736684.77199441101</v>
      </c>
      <c r="BJ11" s="783">
        <f t="shared" si="25"/>
        <v>0</v>
      </c>
      <c r="BL11" s="784">
        <f t="shared" si="26"/>
        <v>736684.77199441101</v>
      </c>
      <c r="BM11" s="781">
        <f t="shared" si="27"/>
        <v>8.6636181290756179E-3</v>
      </c>
      <c r="BN11" s="785">
        <f t="shared" si="28"/>
        <v>23464.91318807194</v>
      </c>
      <c r="BO11" s="783">
        <f>ROUND((BN11+BI11),0)</f>
        <v>760150</v>
      </c>
      <c r="BQ11" s="786">
        <f t="shared" si="29"/>
        <v>0</v>
      </c>
      <c r="BR11" s="548"/>
      <c r="BS11" s="780">
        <f t="shared" si="32"/>
        <v>2701881</v>
      </c>
      <c r="BT11" s="787">
        <f t="shared" si="33"/>
        <v>0.28134103611521011</v>
      </c>
      <c r="BU11" s="782">
        <f t="shared" si="34"/>
        <v>760150</v>
      </c>
      <c r="BV11" s="788">
        <f t="shared" si="35"/>
        <v>0</v>
      </c>
      <c r="BX11" s="789">
        <f t="shared" si="36"/>
        <v>760150</v>
      </c>
      <c r="BY11" s="790">
        <f t="shared" si="37"/>
        <v>8.6636218297557899E-3</v>
      </c>
      <c r="BZ11" s="791">
        <f t="shared" si="38"/>
        <v>7.7972595693213955E-3</v>
      </c>
      <c r="CA11" s="792">
        <f t="shared" si="39"/>
        <v>760150</v>
      </c>
      <c r="CC11" s="793">
        <f t="shared" si="40"/>
        <v>0.28134103611521011</v>
      </c>
      <c r="CD11" s="672"/>
    </row>
    <row r="12" spans="1:82">
      <c r="A12" s="794" t="s">
        <v>219</v>
      </c>
      <c r="B12" s="764" t="s">
        <v>45</v>
      </c>
      <c r="C12" s="627">
        <v>2111050</v>
      </c>
      <c r="D12" s="175">
        <v>131743</v>
      </c>
      <c r="E12" s="175">
        <v>47343</v>
      </c>
      <c r="F12" s="175">
        <v>800372</v>
      </c>
      <c r="G12" s="765">
        <f t="shared" si="0"/>
        <v>5.162807757538755E-3</v>
      </c>
      <c r="H12" s="766">
        <f t="shared" si="1"/>
        <v>5.162807757538755E-3</v>
      </c>
      <c r="J12" s="767">
        <v>1.8670980965213595</v>
      </c>
      <c r="K12" s="768">
        <v>1.3455313359222201</v>
      </c>
      <c r="L12" s="768">
        <v>2.5156324194636741</v>
      </c>
      <c r="M12" s="768">
        <v>2.7827345119658662</v>
      </c>
      <c r="N12" s="769">
        <f t="shared" si="2"/>
        <v>1.2596800836704516</v>
      </c>
      <c r="O12" s="770">
        <f t="shared" si="3"/>
        <v>6.5034861079908751E-3</v>
      </c>
      <c r="P12" s="771">
        <f t="shared" si="4"/>
        <v>6.158809151477946E-3</v>
      </c>
      <c r="Q12" s="767">
        <v>0.11380730389718556</v>
      </c>
      <c r="R12" s="768">
        <v>8.6154544217069737E-2</v>
      </c>
      <c r="S12" s="768">
        <v>0.15736959607772016</v>
      </c>
      <c r="T12" s="768">
        <v>0.16460220997236286</v>
      </c>
      <c r="U12" s="769">
        <f t="shared" si="5"/>
        <v>1.2593362033437594</v>
      </c>
      <c r="V12" s="770">
        <f t="shared" si="6"/>
        <v>6.5017107199725642E-3</v>
      </c>
      <c r="W12" s="771">
        <f t="shared" si="7"/>
        <v>6.1820263946174934E-3</v>
      </c>
      <c r="X12" s="767">
        <v>28.535460118042245</v>
      </c>
      <c r="Y12" s="768">
        <v>42.25856741971144</v>
      </c>
      <c r="Z12" s="768">
        <v>54.154224876915002</v>
      </c>
      <c r="AA12" s="768">
        <v>45.459899034704179</v>
      </c>
      <c r="AB12" s="769">
        <f t="shared" si="8"/>
        <v>1.131145514490173</v>
      </c>
      <c r="AC12" s="770">
        <f t="shared" si="9"/>
        <v>4.5642295278567431E-3</v>
      </c>
      <c r="AD12" s="771">
        <f t="shared" si="10"/>
        <v>4.8682210266125635E-3</v>
      </c>
      <c r="AE12" s="767">
        <v>1.7393535923745185</v>
      </c>
      <c r="AF12" s="768">
        <v>2.7058214982530968</v>
      </c>
      <c r="AG12" s="768">
        <v>3.3877081678725758</v>
      </c>
      <c r="AH12" s="768">
        <v>2.689009610531103</v>
      </c>
      <c r="AI12" s="769">
        <f t="shared" si="11"/>
        <v>1.1289699957487576</v>
      </c>
      <c r="AJ12" s="770">
        <f t="shared" si="12"/>
        <v>4.5730247721195352E-3</v>
      </c>
      <c r="AK12" s="771">
        <f t="shared" si="13"/>
        <v>4.8651090997284385E-3</v>
      </c>
      <c r="AL12" s="767">
        <v>15.283321305510098</v>
      </c>
      <c r="AM12" s="768">
        <v>31.406602203543365</v>
      </c>
      <c r="AN12" s="768">
        <v>21.527081801744522</v>
      </c>
      <c r="AO12" s="768">
        <v>16.33641256081917</v>
      </c>
      <c r="AP12" s="772">
        <f t="shared" si="14"/>
        <v>0.9068629018501454</v>
      </c>
      <c r="AQ12" s="770">
        <f t="shared" si="15"/>
        <v>5.6930410837247852E-3</v>
      </c>
      <c r="AR12" s="771">
        <f t="shared" si="16"/>
        <v>6.1828753932086514E-3</v>
      </c>
      <c r="AT12" s="773">
        <f t="shared" si="30"/>
        <v>1.2317618302955893E-3</v>
      </c>
      <c r="AU12" s="774">
        <f t="shared" si="17"/>
        <v>1.2364052789234988E-3</v>
      </c>
      <c r="AV12" s="774">
        <f t="shared" si="18"/>
        <v>9.7364420532251275E-4</v>
      </c>
      <c r="AW12" s="774">
        <f t="shared" si="19"/>
        <v>9.7302181994568776E-4</v>
      </c>
      <c r="AX12" s="775">
        <f t="shared" si="20"/>
        <v>1.2365750786417305E-3</v>
      </c>
      <c r="AY12" s="776">
        <f t="shared" si="31"/>
        <v>9.463851426131592E-2</v>
      </c>
      <c r="AZ12" s="777">
        <f t="shared" si="21"/>
        <v>158495.98165320084</v>
      </c>
      <c r="BA12" s="778">
        <f t="shared" si="21"/>
        <v>159093.47374171612</v>
      </c>
      <c r="BB12" s="778">
        <f t="shared" si="21"/>
        <v>125282.89991459633</v>
      </c>
      <c r="BC12" s="778">
        <f t="shared" si="21"/>
        <v>125202.81496729543</v>
      </c>
      <c r="BD12" s="778">
        <f t="shared" si="21"/>
        <v>159115.32258648763</v>
      </c>
      <c r="BE12" s="779">
        <f t="shared" si="22"/>
        <v>727190.4928632963</v>
      </c>
      <c r="BG12" s="780">
        <v>2152208</v>
      </c>
      <c r="BH12" s="781">
        <f t="shared" si="23"/>
        <v>0.3378811401422615</v>
      </c>
      <c r="BI12" s="782">
        <f t="shared" si="24"/>
        <v>645662.4</v>
      </c>
      <c r="BJ12" s="783">
        <f t="shared" si="25"/>
        <v>81528.092863296275</v>
      </c>
      <c r="BL12" s="784">
        <f t="shared" si="26"/>
        <v>0</v>
      </c>
      <c r="BM12" s="781">
        <f t="shared" si="27"/>
        <v>0</v>
      </c>
      <c r="BN12" s="785">
        <f t="shared" si="28"/>
        <v>0</v>
      </c>
      <c r="BO12" s="783">
        <f t="shared" ref="BO12:BO48" si="41">ROUND((BN12+BI12),0)</f>
        <v>645662</v>
      </c>
      <c r="BQ12" s="786">
        <f t="shared" si="29"/>
        <v>0</v>
      </c>
      <c r="BR12" s="548"/>
      <c r="BS12" s="780">
        <f t="shared" si="32"/>
        <v>2152208</v>
      </c>
      <c r="BT12" s="787">
        <f t="shared" si="33"/>
        <v>0.29999981414435778</v>
      </c>
      <c r="BU12" s="782">
        <f t="shared" si="34"/>
        <v>645662</v>
      </c>
      <c r="BV12" s="788">
        <f t="shared" si="35"/>
        <v>0</v>
      </c>
      <c r="BX12" s="789">
        <f t="shared" si="36"/>
        <v>0</v>
      </c>
      <c r="BY12" s="790">
        <f t="shared" si="37"/>
        <v>0</v>
      </c>
      <c r="BZ12" s="791">
        <f t="shared" si="38"/>
        <v>0</v>
      </c>
      <c r="CA12" s="792">
        <f t="shared" si="39"/>
        <v>645662</v>
      </c>
      <c r="CC12" s="793">
        <f t="shared" si="40"/>
        <v>0.29999981414435778</v>
      </c>
      <c r="CD12" s="672"/>
    </row>
    <row r="13" spans="1:82">
      <c r="A13" s="794" t="s">
        <v>219</v>
      </c>
      <c r="B13" s="764" t="s">
        <v>58</v>
      </c>
      <c r="C13" s="627">
        <v>450961</v>
      </c>
      <c r="D13" s="175">
        <v>31171</v>
      </c>
      <c r="E13" s="175">
        <v>8170</v>
      </c>
      <c r="F13" s="175">
        <v>132943</v>
      </c>
      <c r="G13" s="765">
        <f t="shared" si="0"/>
        <v>1.0186903952234202E-3</v>
      </c>
      <c r="H13" s="766">
        <f t="shared" si="1"/>
        <v>1.0186903952234202E-3</v>
      </c>
      <c r="J13" s="767">
        <v>5.5566235366605055</v>
      </c>
      <c r="K13" s="768">
        <v>3.8071505958829901</v>
      </c>
      <c r="L13" s="768">
        <v>3.650582779796967</v>
      </c>
      <c r="M13" s="768">
        <v>3.815299877600979</v>
      </c>
      <c r="N13" s="769">
        <f t="shared" si="2"/>
        <v>0.98400547632215163</v>
      </c>
      <c r="O13" s="770">
        <f t="shared" si="3"/>
        <v>1.0023969275766225E-3</v>
      </c>
      <c r="P13" s="771">
        <f t="shared" si="4"/>
        <v>9.4927109375797264E-4</v>
      </c>
      <c r="Q13" s="767">
        <v>0.3373331737387037</v>
      </c>
      <c r="R13" s="768">
        <v>0.2437813629741542</v>
      </c>
      <c r="S13" s="768">
        <v>0.22496138399752857</v>
      </c>
      <c r="T13" s="768">
        <v>0.23446890772737189</v>
      </c>
      <c r="U13" s="769">
        <f t="shared" si="5"/>
        <v>0.9968029568907818</v>
      </c>
      <c r="V13" s="770">
        <f t="shared" si="6"/>
        <v>1.0154335981149443E-3</v>
      </c>
      <c r="W13" s="771">
        <f t="shared" si="7"/>
        <v>9.6550547631170023E-4</v>
      </c>
      <c r="X13" s="767">
        <v>38.559704251386322</v>
      </c>
      <c r="Y13" s="768">
        <v>43.683519922956542</v>
      </c>
      <c r="Z13" s="768">
        <v>59.664118310565236</v>
      </c>
      <c r="AA13" s="768">
        <v>55.822399020807836</v>
      </c>
      <c r="AB13" s="769">
        <f t="shared" si="8"/>
        <v>1.0986125400469504</v>
      </c>
      <c r="AC13" s="770">
        <f t="shared" si="9"/>
        <v>9.2725174535135499E-4</v>
      </c>
      <c r="AD13" s="771">
        <f t="shared" si="10"/>
        <v>9.8900951762659621E-4</v>
      </c>
      <c r="AE13" s="767">
        <v>2.340894128912562</v>
      </c>
      <c r="AF13" s="768">
        <v>2.7971649027603269</v>
      </c>
      <c r="AG13" s="768">
        <v>3.6767068273092369</v>
      </c>
      <c r="AH13" s="768">
        <v>3.4305604657635227</v>
      </c>
      <c r="AI13" s="769">
        <f t="shared" si="11"/>
        <v>1.1030365413985617</v>
      </c>
      <c r="AJ13" s="770">
        <f t="shared" si="12"/>
        <v>9.2353277247896319E-4</v>
      </c>
      <c r="AK13" s="771">
        <f t="shared" si="13"/>
        <v>9.825198679609059E-4</v>
      </c>
      <c r="AL13" s="767">
        <v>6.9394127561429961</v>
      </c>
      <c r="AM13" s="768">
        <v>11.474071966103839</v>
      </c>
      <c r="AN13" s="768">
        <v>16.343724251579236</v>
      </c>
      <c r="AO13" s="768">
        <v>14.631195662635141</v>
      </c>
      <c r="AP13" s="772">
        <f t="shared" si="14"/>
        <v>1.2256175688486206</v>
      </c>
      <c r="AQ13" s="770">
        <f t="shared" si="15"/>
        <v>8.3116497438952871E-4</v>
      </c>
      <c r="AR13" s="771">
        <f t="shared" si="16"/>
        <v>9.0267914674658036E-4</v>
      </c>
      <c r="AT13" s="773">
        <f t="shared" si="30"/>
        <v>1.8985421875159455E-4</v>
      </c>
      <c r="AU13" s="774">
        <f t="shared" si="17"/>
        <v>1.9310109526234006E-4</v>
      </c>
      <c r="AV13" s="774">
        <f t="shared" si="18"/>
        <v>1.9780190352531926E-4</v>
      </c>
      <c r="AW13" s="774">
        <f t="shared" si="19"/>
        <v>1.9650397359218118E-4</v>
      </c>
      <c r="AX13" s="775">
        <f t="shared" si="20"/>
        <v>1.8053582934931609E-4</v>
      </c>
      <c r="AY13" s="776">
        <f t="shared" si="31"/>
        <v>-5.9776135151754221E-2</v>
      </c>
      <c r="AZ13" s="777">
        <f t="shared" si="21"/>
        <v>24429.341802882835</v>
      </c>
      <c r="BA13" s="778">
        <f t="shared" si="21"/>
        <v>24847.131076117446</v>
      </c>
      <c r="BB13" s="778">
        <f t="shared" si="21"/>
        <v>25452.003870418575</v>
      </c>
      <c r="BC13" s="778">
        <f t="shared" si="21"/>
        <v>25284.993760338748</v>
      </c>
      <c r="BD13" s="778">
        <f t="shared" si="21"/>
        <v>23230.305398753891</v>
      </c>
      <c r="BE13" s="779">
        <f t="shared" si="22"/>
        <v>123243.7759085115</v>
      </c>
      <c r="BG13" s="780">
        <v>456069</v>
      </c>
      <c r="BH13" s="781">
        <f t="shared" si="23"/>
        <v>0.27023054824711062</v>
      </c>
      <c r="BI13" s="782">
        <f t="shared" si="24"/>
        <v>123243.7759085115</v>
      </c>
      <c r="BJ13" s="783">
        <f t="shared" si="25"/>
        <v>0</v>
      </c>
      <c r="BL13" s="784">
        <f t="shared" si="26"/>
        <v>123243.7759085115</v>
      </c>
      <c r="BM13" s="781">
        <f t="shared" si="27"/>
        <v>1.4493811353885478E-3</v>
      </c>
      <c r="BN13" s="785">
        <f t="shared" si="28"/>
        <v>3925.5657407363287</v>
      </c>
      <c r="BO13" s="783">
        <f t="shared" si="41"/>
        <v>127169</v>
      </c>
      <c r="BQ13" s="786">
        <f t="shared" si="29"/>
        <v>0</v>
      </c>
      <c r="BR13" s="548"/>
      <c r="BS13" s="780">
        <f t="shared" si="32"/>
        <v>456069</v>
      </c>
      <c r="BT13" s="787">
        <f t="shared" si="33"/>
        <v>0.27883719349484398</v>
      </c>
      <c r="BU13" s="782">
        <f t="shared" si="34"/>
        <v>127169</v>
      </c>
      <c r="BV13" s="788">
        <f t="shared" si="35"/>
        <v>0</v>
      </c>
      <c r="BX13" s="789">
        <f t="shared" si="36"/>
        <v>127169</v>
      </c>
      <c r="BY13" s="790">
        <f t="shared" si="37"/>
        <v>1.4493772603673145E-3</v>
      </c>
      <c r="BZ13" s="791">
        <f t="shared" si="38"/>
        <v>1.3044395213721405E-3</v>
      </c>
      <c r="CA13" s="792">
        <f t="shared" si="39"/>
        <v>127169</v>
      </c>
      <c r="CC13" s="793">
        <f t="shared" si="40"/>
        <v>0.27883719349484398</v>
      </c>
      <c r="CD13" s="672"/>
    </row>
    <row r="14" spans="1:82">
      <c r="A14" s="794" t="s">
        <v>220</v>
      </c>
      <c r="B14" s="764" t="s">
        <v>26</v>
      </c>
      <c r="C14" s="627">
        <v>10488989</v>
      </c>
      <c r="D14" s="175">
        <v>1147018</v>
      </c>
      <c r="E14" s="175">
        <v>73719</v>
      </c>
      <c r="F14" s="175">
        <v>782454</v>
      </c>
      <c r="G14" s="765">
        <f t="shared" si="0"/>
        <v>2.012811729194712E-2</v>
      </c>
      <c r="H14" s="766">
        <f t="shared" si="1"/>
        <v>2.012811729194712E-2</v>
      </c>
      <c r="J14" s="767">
        <v>17.327594346172003</v>
      </c>
      <c r="K14" s="768">
        <v>8.228226225879153</v>
      </c>
      <c r="L14" s="768">
        <v>19.647103879082909</v>
      </c>
      <c r="M14" s="768">
        <v>15.559326632211507</v>
      </c>
      <c r="N14" s="769">
        <f t="shared" si="2"/>
        <v>1.146642827024652</v>
      </c>
      <c r="O14" s="770">
        <f t="shared" si="3"/>
        <v>2.3079761314322031E-2</v>
      </c>
      <c r="P14" s="771">
        <f t="shared" si="4"/>
        <v>2.1856561671119761E-2</v>
      </c>
      <c r="Q14" s="767">
        <v>1.9171644901717197</v>
      </c>
      <c r="R14" s="768">
        <v>0.84464065708418889</v>
      </c>
      <c r="S14" s="768">
        <v>1.4289408659654961</v>
      </c>
      <c r="T14" s="768">
        <v>1.465923875397148</v>
      </c>
      <c r="U14" s="769">
        <f t="shared" si="5"/>
        <v>1.0157118214755225</v>
      </c>
      <c r="V14" s="770">
        <f t="shared" si="6"/>
        <v>2.044436667747657E-2</v>
      </c>
      <c r="W14" s="771">
        <f t="shared" si="7"/>
        <v>1.9439132232252226E-2</v>
      </c>
      <c r="X14" s="767">
        <v>81.344653948330603</v>
      </c>
      <c r="Y14" s="768">
        <v>121.31553469268006</v>
      </c>
      <c r="Z14" s="768">
        <v>156.54829705026299</v>
      </c>
      <c r="AA14" s="768">
        <v>142.28338691517791</v>
      </c>
      <c r="AB14" s="769">
        <f t="shared" si="8"/>
        <v>1.1618312176531347</v>
      </c>
      <c r="AC14" s="770">
        <f t="shared" si="9"/>
        <v>1.7324476211446043E-2</v>
      </c>
      <c r="AD14" s="771">
        <f t="shared" si="10"/>
        <v>1.8478338754189388E-2</v>
      </c>
      <c r="AE14" s="767">
        <v>9.0001577194989437</v>
      </c>
      <c r="AF14" s="768">
        <v>12.453234770704997</v>
      </c>
      <c r="AG14" s="768">
        <v>11.385813427218888</v>
      </c>
      <c r="AH14" s="768">
        <v>13.405246826011497</v>
      </c>
      <c r="AI14" s="769">
        <f t="shared" si="11"/>
        <v>1.1048323787932597</v>
      </c>
      <c r="AJ14" s="770">
        <f t="shared" si="12"/>
        <v>1.8218254350883364E-2</v>
      </c>
      <c r="AK14" s="771">
        <f t="shared" si="13"/>
        <v>1.9381875113387872E-2</v>
      </c>
      <c r="AL14" s="767">
        <v>4.6945151371402689</v>
      </c>
      <c r="AM14" s="768">
        <v>14.743825869921071</v>
      </c>
      <c r="AN14" s="768">
        <v>7.9680088227624495</v>
      </c>
      <c r="AO14" s="768">
        <v>9.1445722734952728</v>
      </c>
      <c r="AP14" s="769">
        <f t="shared" si="14"/>
        <v>1.1634437228193528</v>
      </c>
      <c r="AQ14" s="770">
        <f t="shared" si="15"/>
        <v>1.7300464901878542E-2</v>
      </c>
      <c r="AR14" s="771">
        <f t="shared" si="16"/>
        <v>1.8789012262477776E-2</v>
      </c>
      <c r="AT14" s="773">
        <f t="shared" si="30"/>
        <v>4.3713123342239519E-3</v>
      </c>
      <c r="AU14" s="774">
        <f t="shared" si="17"/>
        <v>3.8878264464504452E-3</v>
      </c>
      <c r="AV14" s="774">
        <f t="shared" si="18"/>
        <v>3.6956677508378777E-3</v>
      </c>
      <c r="AW14" s="774">
        <f t="shared" si="19"/>
        <v>3.8763750226775747E-3</v>
      </c>
      <c r="AX14" s="775">
        <f t="shared" si="20"/>
        <v>3.7578024524955555E-3</v>
      </c>
      <c r="AY14" s="776">
        <f t="shared" si="31"/>
        <v>-2.6785082650398272E-2</v>
      </c>
      <c r="AZ14" s="777">
        <f t="shared" si="21"/>
        <v>562475.1656408353</v>
      </c>
      <c r="BA14" s="778">
        <f t="shared" si="21"/>
        <v>500263.0005019448</v>
      </c>
      <c r="BB14" s="778">
        <f t="shared" si="21"/>
        <v>475537.1319572085</v>
      </c>
      <c r="BC14" s="778">
        <f t="shared" si="21"/>
        <v>498789.49758314405</v>
      </c>
      <c r="BD14" s="778">
        <f t="shared" si="21"/>
        <v>483532.2656687306</v>
      </c>
      <c r="BE14" s="779">
        <f t="shared" si="22"/>
        <v>2520597.0613518632</v>
      </c>
      <c r="BG14" s="780">
        <v>10488989</v>
      </c>
      <c r="BH14" s="781">
        <f t="shared" si="23"/>
        <v>0.24030886688429773</v>
      </c>
      <c r="BI14" s="782">
        <f t="shared" si="24"/>
        <v>2520597.0613518632</v>
      </c>
      <c r="BJ14" s="783">
        <f t="shared" si="25"/>
        <v>0</v>
      </c>
      <c r="BL14" s="784">
        <f t="shared" si="26"/>
        <v>2520597.0613518632</v>
      </c>
      <c r="BM14" s="781">
        <f t="shared" si="27"/>
        <v>2.9642923577343067E-2</v>
      </c>
      <c r="BN14" s="785">
        <f t="shared" si="28"/>
        <v>80286.159664475083</v>
      </c>
      <c r="BO14" s="783">
        <f>ROUND((BN14+BI14),0)</f>
        <v>2600883</v>
      </c>
      <c r="BQ14" s="786">
        <f t="shared" si="29"/>
        <v>0</v>
      </c>
      <c r="BR14" s="548"/>
      <c r="BS14" s="780">
        <f t="shared" si="32"/>
        <v>10488989</v>
      </c>
      <c r="BT14" s="787">
        <f t="shared" si="33"/>
        <v>0.24796317357182851</v>
      </c>
      <c r="BU14" s="782">
        <f t="shared" si="34"/>
        <v>2600883</v>
      </c>
      <c r="BV14" s="788">
        <f t="shared" si="35"/>
        <v>0</v>
      </c>
      <c r="BX14" s="789">
        <f t="shared" si="36"/>
        <v>2600883</v>
      </c>
      <c r="BY14" s="790">
        <f t="shared" si="37"/>
        <v>2.9642921443716018E-2</v>
      </c>
      <c r="BZ14" s="791">
        <f t="shared" si="38"/>
        <v>2.6678629034316045E-2</v>
      </c>
      <c r="CA14" s="792">
        <f>ROUND((BZ14+BU14),0)</f>
        <v>2600883</v>
      </c>
      <c r="CC14" s="793">
        <f>CA14/BS14</f>
        <v>0.24796317357182851</v>
      </c>
      <c r="CD14" s="672"/>
    </row>
    <row r="15" spans="1:82">
      <c r="A15" s="797"/>
      <c r="B15" s="798"/>
      <c r="C15" s="799"/>
      <c r="D15" s="800"/>
      <c r="E15" s="800"/>
      <c r="F15" s="800"/>
      <c r="G15" s="801"/>
      <c r="H15" s="802"/>
      <c r="J15" s="803"/>
      <c r="K15" s="804"/>
      <c r="L15" s="804"/>
      <c r="M15" s="804"/>
      <c r="N15" s="805"/>
      <c r="O15" s="806"/>
      <c r="P15" s="807"/>
      <c r="Q15" s="803"/>
      <c r="R15" s="804"/>
      <c r="S15" s="804"/>
      <c r="T15" s="804"/>
      <c r="U15" s="805"/>
      <c r="V15" s="806"/>
      <c r="W15" s="807"/>
      <c r="X15" s="803"/>
      <c r="Y15" s="804"/>
      <c r="Z15" s="804"/>
      <c r="AA15" s="804"/>
      <c r="AB15" s="805"/>
      <c r="AC15" s="806"/>
      <c r="AD15" s="807"/>
      <c r="AE15" s="803"/>
      <c r="AF15" s="804"/>
      <c r="AG15" s="804"/>
      <c r="AH15" s="804"/>
      <c r="AI15" s="805"/>
      <c r="AJ15" s="806"/>
      <c r="AK15" s="807"/>
      <c r="AL15" s="803"/>
      <c r="AM15" s="804"/>
      <c r="AN15" s="804"/>
      <c r="AO15" s="804"/>
      <c r="AP15" s="808"/>
      <c r="AQ15" s="806"/>
      <c r="AR15" s="807"/>
      <c r="AT15" s="809"/>
      <c r="AU15" s="810"/>
      <c r="AV15" s="810"/>
      <c r="AW15" s="810"/>
      <c r="AX15" s="811"/>
      <c r="AY15" s="776" t="e">
        <f t="shared" si="31"/>
        <v>#DIV/0!</v>
      </c>
      <c r="AZ15" s="812"/>
      <c r="BA15" s="813"/>
      <c r="BB15" s="813"/>
      <c r="BC15" s="813"/>
      <c r="BD15" s="813"/>
      <c r="BE15" s="814"/>
      <c r="BG15" s="815"/>
      <c r="BH15" s="816"/>
      <c r="BI15" s="817"/>
      <c r="BJ15" s="818"/>
      <c r="BL15" s="819"/>
      <c r="BM15" s="816"/>
      <c r="BN15" s="820"/>
      <c r="BO15" s="818"/>
      <c r="BQ15" s="821"/>
      <c r="BR15" s="548"/>
      <c r="BS15" s="815"/>
      <c r="BT15" s="822"/>
      <c r="BU15" s="817">
        <f t="shared" si="34"/>
        <v>0</v>
      </c>
      <c r="BV15" s="823">
        <f t="shared" si="35"/>
        <v>0</v>
      </c>
      <c r="BX15" s="789"/>
      <c r="BY15" s="790">
        <f t="shared" si="37"/>
        <v>0</v>
      </c>
      <c r="BZ15" s="791">
        <f t="shared" si="38"/>
        <v>0</v>
      </c>
      <c r="CA15" s="824"/>
      <c r="CC15" s="793"/>
      <c r="CD15" s="672"/>
    </row>
    <row r="16" spans="1:82">
      <c r="A16" s="794" t="s">
        <v>221</v>
      </c>
      <c r="B16" s="764" t="s">
        <v>342</v>
      </c>
      <c r="C16" s="627">
        <v>4150901</v>
      </c>
      <c r="D16" s="175">
        <v>288349</v>
      </c>
      <c r="E16" s="175">
        <v>37181</v>
      </c>
      <c r="F16" s="175">
        <v>548622</v>
      </c>
      <c r="G16" s="795">
        <f t="shared" si="0"/>
        <v>7.4722039468926192E-3</v>
      </c>
      <c r="H16" s="766">
        <f t="shared" si="1"/>
        <v>7.4722039468926192E-3</v>
      </c>
      <c r="J16" s="767">
        <v>5.5934530095036958</v>
      </c>
      <c r="K16" s="768">
        <v>3.4815432129025932</v>
      </c>
      <c r="L16" s="768">
        <v>4.4669216251117509</v>
      </c>
      <c r="M16" s="768">
        <v>7.7552782335063606</v>
      </c>
      <c r="N16" s="769">
        <f t="shared" si="2"/>
        <v>1.2198287632498523</v>
      </c>
      <c r="O16" s="770">
        <f t="shared" si="3"/>
        <v>9.1148092992886891E-3</v>
      </c>
      <c r="P16" s="771">
        <f t="shared" si="4"/>
        <v>8.6317353484403302E-3</v>
      </c>
      <c r="Q16" s="767">
        <v>0.3427235145820865</v>
      </c>
      <c r="R16" s="768">
        <v>0.23255357049300571</v>
      </c>
      <c r="S16" s="768">
        <v>0.30066694525699961</v>
      </c>
      <c r="T16" s="768">
        <v>0.52558774529639718</v>
      </c>
      <c r="U16" s="769">
        <f t="shared" si="5"/>
        <v>1.2632311762484385</v>
      </c>
      <c r="V16" s="770">
        <f t="shared" si="6"/>
        <v>9.4391209810013883E-3</v>
      </c>
      <c r="W16" s="771">
        <f t="shared" si="7"/>
        <v>8.9750063575244066E-3</v>
      </c>
      <c r="X16" s="767">
        <v>71.54291748378337</v>
      </c>
      <c r="Y16" s="768">
        <v>97.854576204715912</v>
      </c>
      <c r="Z16" s="768">
        <v>112.67122777391477</v>
      </c>
      <c r="AA16" s="768">
        <v>122.86288695839272</v>
      </c>
      <c r="AB16" s="769">
        <f t="shared" si="8"/>
        <v>1.1468704387138906</v>
      </c>
      <c r="AC16" s="770">
        <f t="shared" si="9"/>
        <v>6.5152991084782052E-3</v>
      </c>
      <c r="AD16" s="771">
        <f t="shared" si="10"/>
        <v>6.9492377455999E-3</v>
      </c>
      <c r="AE16" s="767">
        <v>4.38359633697433</v>
      </c>
      <c r="AF16" s="768">
        <v>6.5363057971394145</v>
      </c>
      <c r="AG16" s="768">
        <v>7.5838612620142083</v>
      </c>
      <c r="AH16" s="768">
        <v>8.3266165046243135</v>
      </c>
      <c r="AI16" s="769">
        <f t="shared" si="11"/>
        <v>1.1891379558716986</v>
      </c>
      <c r="AJ16" s="770">
        <f t="shared" si="12"/>
        <v>6.2837149466103059E-3</v>
      </c>
      <c r="AK16" s="771">
        <f t="shared" si="13"/>
        <v>6.6850630141424248E-3</v>
      </c>
      <c r="AL16" s="767">
        <v>12.790474392513282</v>
      </c>
      <c r="AM16" s="768">
        <v>28.106667136018022</v>
      </c>
      <c r="AN16" s="768">
        <v>25.223461978940815</v>
      </c>
      <c r="AO16" s="768">
        <v>15.842486015210735</v>
      </c>
      <c r="AP16" s="772">
        <f t="shared" si="14"/>
        <v>0.96170318816631051</v>
      </c>
      <c r="AQ16" s="770">
        <f t="shared" si="15"/>
        <v>7.7697610227745514E-3</v>
      </c>
      <c r="AR16" s="771">
        <f t="shared" si="16"/>
        <v>8.438278159656927E-3</v>
      </c>
      <c r="AT16" s="773">
        <f t="shared" si="30"/>
        <v>1.7263470696880661E-3</v>
      </c>
      <c r="AU16" s="774">
        <f t="shared" si="17"/>
        <v>1.7950012715048814E-3</v>
      </c>
      <c r="AV16" s="774">
        <f t="shared" si="18"/>
        <v>1.38984754911998E-3</v>
      </c>
      <c r="AW16" s="774">
        <f t="shared" si="19"/>
        <v>1.3370126028284851E-3</v>
      </c>
      <c r="AX16" s="775">
        <f t="shared" si="20"/>
        <v>1.6876556319313854E-3</v>
      </c>
      <c r="AY16" s="776">
        <f t="shared" si="31"/>
        <v>6.2051328025247002E-2</v>
      </c>
      <c r="AZ16" s="777">
        <f t="shared" si="21"/>
        <v>222136.34710427391</v>
      </c>
      <c r="BA16" s="778">
        <f t="shared" si="21"/>
        <v>230970.3723548874</v>
      </c>
      <c r="BB16" s="778">
        <f t="shared" si="21"/>
        <v>178837.53679329716</v>
      </c>
      <c r="BC16" s="778">
        <f t="shared" si="21"/>
        <v>172039.04176601168</v>
      </c>
      <c r="BD16" s="778">
        <f t="shared" si="21"/>
        <v>217157.75687847743</v>
      </c>
      <c r="BE16" s="779">
        <f t="shared" si="22"/>
        <v>1021141.0548969476</v>
      </c>
      <c r="BG16" s="780">
        <v>4568165</v>
      </c>
      <c r="BH16" s="781">
        <f t="shared" si="23"/>
        <v>0.22353418821276105</v>
      </c>
      <c r="BI16" s="782">
        <f t="shared" si="24"/>
        <v>1021141.0548969476</v>
      </c>
      <c r="BJ16" s="783">
        <f t="shared" si="25"/>
        <v>0</v>
      </c>
      <c r="BL16" s="784">
        <f t="shared" si="26"/>
        <v>1021141.0548969476</v>
      </c>
      <c r="BM16" s="781">
        <f t="shared" si="27"/>
        <v>1.2008903253962894E-2</v>
      </c>
      <c r="BN16" s="785">
        <f t="shared" si="28"/>
        <v>32525.426229544566</v>
      </c>
      <c r="BO16" s="783">
        <f t="shared" si="41"/>
        <v>1053666</v>
      </c>
      <c r="BQ16" s="786">
        <f t="shared" si="29"/>
        <v>0</v>
      </c>
      <c r="BR16" s="548"/>
      <c r="BS16" s="780">
        <f t="shared" si="32"/>
        <v>4568165</v>
      </c>
      <c r="BT16" s="787">
        <f t="shared" si="33"/>
        <v>0.2306541029056525</v>
      </c>
      <c r="BU16" s="782">
        <f t="shared" si="34"/>
        <v>1053666</v>
      </c>
      <c r="BV16" s="788">
        <f t="shared" si="35"/>
        <v>0</v>
      </c>
      <c r="BX16" s="789">
        <f t="shared" si="36"/>
        <v>1053666</v>
      </c>
      <c r="BY16" s="790">
        <f t="shared" si="37"/>
        <v>1.2008897926555897E-2</v>
      </c>
      <c r="BZ16" s="791">
        <f t="shared" si="38"/>
        <v>1.0808008026532393E-2</v>
      </c>
      <c r="CA16" s="792">
        <f t="shared" si="39"/>
        <v>1053666</v>
      </c>
      <c r="CC16" s="793">
        <f t="shared" si="40"/>
        <v>0.2306541029056525</v>
      </c>
      <c r="CD16" s="672"/>
    </row>
    <row r="17" spans="1:82">
      <c r="A17" s="794" t="s">
        <v>222</v>
      </c>
      <c r="B17" s="764" t="s">
        <v>31</v>
      </c>
      <c r="C17" s="627">
        <v>1970225</v>
      </c>
      <c r="D17" s="175">
        <v>75077</v>
      </c>
      <c r="E17" s="175">
        <v>22410</v>
      </c>
      <c r="F17" s="175">
        <v>442128</v>
      </c>
      <c r="G17" s="795">
        <f t="shared" si="0"/>
        <v>3.5481905009888529E-3</v>
      </c>
      <c r="H17" s="766">
        <f t="shared" si="1"/>
        <v>3.5481905009888529E-3</v>
      </c>
      <c r="J17" s="767">
        <v>6.7021276595744679</v>
      </c>
      <c r="K17" s="768">
        <v>5.361326293975428</v>
      </c>
      <c r="L17" s="768">
        <v>3.4816356739753909</v>
      </c>
      <c r="M17" s="768">
        <v>3.3501561802766622</v>
      </c>
      <c r="N17" s="769">
        <f t="shared" si="2"/>
        <v>0.9553120857071894</v>
      </c>
      <c r="O17" s="770">
        <f t="shared" si="3"/>
        <v>3.3896292679860985E-3</v>
      </c>
      <c r="P17" s="771">
        <f t="shared" si="4"/>
        <v>3.2099829859157693E-3</v>
      </c>
      <c r="Q17" s="767">
        <v>0.35838935027674113</v>
      </c>
      <c r="R17" s="768">
        <v>0.29459705668644059</v>
      </c>
      <c r="S17" s="768">
        <v>0.18135424146189841</v>
      </c>
      <c r="T17" s="768">
        <v>0.16980829081171064</v>
      </c>
      <c r="U17" s="769">
        <f t="shared" si="5"/>
        <v>0.94938316718089533</v>
      </c>
      <c r="V17" s="770">
        <f t="shared" si="6"/>
        <v>3.3685923355899648E-3</v>
      </c>
      <c r="W17" s="771">
        <f t="shared" si="7"/>
        <v>3.2029611325757705E-3</v>
      </c>
      <c r="X17" s="767">
        <v>66.919313392948922</v>
      </c>
      <c r="Y17" s="768">
        <v>71.305225243005879</v>
      </c>
      <c r="Z17" s="768">
        <v>79.874363955962622</v>
      </c>
      <c r="AA17" s="768">
        <v>87.91722445336903</v>
      </c>
      <c r="AB17" s="769">
        <f t="shared" si="8"/>
        <v>1.0576341091476011</v>
      </c>
      <c r="AC17" s="770">
        <f t="shared" si="9"/>
        <v>3.354837434137324E-3</v>
      </c>
      <c r="AD17" s="771">
        <f t="shared" si="10"/>
        <v>3.5782797596078469E-3</v>
      </c>
      <c r="AE17" s="767">
        <v>3.578441125871858</v>
      </c>
      <c r="AF17" s="768">
        <v>3.9181180795800845</v>
      </c>
      <c r="AG17" s="768">
        <v>4.1605601630756928</v>
      </c>
      <c r="AH17" s="768">
        <v>4.456232131871313</v>
      </c>
      <c r="AI17" s="769">
        <f t="shared" si="11"/>
        <v>1.0394400432187054</v>
      </c>
      <c r="AJ17" s="770">
        <f t="shared" si="12"/>
        <v>3.4135595642453896E-3</v>
      </c>
      <c r="AK17" s="771">
        <f t="shared" si="13"/>
        <v>3.6315875216171218E-3</v>
      </c>
      <c r="AL17" s="767">
        <v>9.9847864427574571</v>
      </c>
      <c r="AM17" s="768">
        <v>13.299922693220932</v>
      </c>
      <c r="AN17" s="768">
        <v>22.941620386363031</v>
      </c>
      <c r="AO17" s="768">
        <v>26.242724136553139</v>
      </c>
      <c r="AP17" s="772">
        <f t="shared" si="14"/>
        <v>1.4157977453231483</v>
      </c>
      <c r="AQ17" s="770">
        <f t="shared" si="15"/>
        <v>2.5061422174951957E-3</v>
      </c>
      <c r="AR17" s="771">
        <f t="shared" si="16"/>
        <v>2.7217729189992759E-3</v>
      </c>
      <c r="AT17" s="773">
        <f t="shared" si="30"/>
        <v>6.4199659718315388E-4</v>
      </c>
      <c r="AU17" s="774">
        <f t="shared" si="17"/>
        <v>6.4059222651515412E-4</v>
      </c>
      <c r="AV17" s="774">
        <f t="shared" si="18"/>
        <v>7.1565595192156939E-4</v>
      </c>
      <c r="AW17" s="774">
        <f t="shared" si="19"/>
        <v>7.2631750432342436E-4</v>
      </c>
      <c r="AX17" s="775">
        <f t="shared" si="20"/>
        <v>5.4435458379985518E-4</v>
      </c>
      <c r="AY17" s="776">
        <f t="shared" si="31"/>
        <v>-7.8708749478886356E-2</v>
      </c>
      <c r="AZ17" s="777">
        <f t="shared" si="21"/>
        <v>82608.405607227149</v>
      </c>
      <c r="BA17" s="778">
        <f t="shared" si="21"/>
        <v>82427.699319570733</v>
      </c>
      <c r="BB17" s="778">
        <f t="shared" si="21"/>
        <v>92086.464960961879</v>
      </c>
      <c r="BC17" s="778">
        <f t="shared" si="21"/>
        <v>93458.331804305722</v>
      </c>
      <c r="BD17" s="778">
        <f t="shared" si="21"/>
        <v>70044.396574679748</v>
      </c>
      <c r="BE17" s="779">
        <f t="shared" si="22"/>
        <v>420625.29826674523</v>
      </c>
      <c r="BG17" s="780">
        <v>1970225</v>
      </c>
      <c r="BH17" s="781">
        <f t="shared" si="23"/>
        <v>0.21349099634140528</v>
      </c>
      <c r="BI17" s="782">
        <f t="shared" si="24"/>
        <v>420625.29826674523</v>
      </c>
      <c r="BJ17" s="783">
        <f t="shared" si="25"/>
        <v>0</v>
      </c>
      <c r="BL17" s="784">
        <f t="shared" si="26"/>
        <v>420625.29826674523</v>
      </c>
      <c r="BM17" s="781">
        <f t="shared" si="27"/>
        <v>4.9466706767209512E-3</v>
      </c>
      <c r="BN17" s="785">
        <f t="shared" si="28"/>
        <v>13397.77403273231</v>
      </c>
      <c r="BO17" s="783">
        <f t="shared" si="41"/>
        <v>434023</v>
      </c>
      <c r="BQ17" s="786">
        <f t="shared" si="29"/>
        <v>0</v>
      </c>
      <c r="BR17" s="548"/>
      <c r="BS17" s="780">
        <f t="shared" si="32"/>
        <v>1970225</v>
      </c>
      <c r="BT17" s="787">
        <f t="shared" si="33"/>
        <v>0.22029108350569099</v>
      </c>
      <c r="BU17" s="782">
        <f t="shared" si="34"/>
        <v>434023</v>
      </c>
      <c r="BV17" s="788">
        <f t="shared" si="35"/>
        <v>0</v>
      </c>
      <c r="BX17" s="789">
        <f t="shared" si="36"/>
        <v>434023</v>
      </c>
      <c r="BY17" s="790">
        <f t="shared" si="37"/>
        <v>4.9466699170112446E-3</v>
      </c>
      <c r="BZ17" s="791">
        <f t="shared" si="38"/>
        <v>4.452002881083445E-3</v>
      </c>
      <c r="CA17" s="792">
        <f t="shared" si="39"/>
        <v>434023</v>
      </c>
      <c r="CC17" s="793">
        <f t="shared" si="40"/>
        <v>0.22029108350569099</v>
      </c>
      <c r="CD17" s="672"/>
    </row>
    <row r="18" spans="1:82">
      <c r="A18" s="794" t="s">
        <v>222</v>
      </c>
      <c r="B18" s="764" t="s">
        <v>41</v>
      </c>
      <c r="C18" s="627">
        <v>192534</v>
      </c>
      <c r="D18" s="175">
        <v>10861</v>
      </c>
      <c r="E18" s="175">
        <v>3108</v>
      </c>
      <c r="F18" s="175">
        <v>54991</v>
      </c>
      <c r="G18" s="795">
        <f t="shared" si="0"/>
        <v>4.0814521411739016E-4</v>
      </c>
      <c r="H18" s="766">
        <f t="shared" si="1"/>
        <v>4.0814521411739016E-4</v>
      </c>
      <c r="J18" s="767">
        <v>2.5672572178477688</v>
      </c>
      <c r="K18" s="768">
        <v>1.3415032679738561</v>
      </c>
      <c r="L18" s="768">
        <v>1.759546925566343</v>
      </c>
      <c r="M18" s="768">
        <v>3.4945302445302446</v>
      </c>
      <c r="N18" s="769">
        <f t="shared" si="2"/>
        <v>1.2320810455604696</v>
      </c>
      <c r="O18" s="770">
        <f t="shared" si="3"/>
        <v>5.0286798215025581E-4</v>
      </c>
      <c r="P18" s="771">
        <f t="shared" si="4"/>
        <v>4.7621658277194697E-4</v>
      </c>
      <c r="Q18" s="767">
        <v>0.14723314580314975</v>
      </c>
      <c r="R18" s="768">
        <v>8.4451119157340354E-2</v>
      </c>
      <c r="S18" s="768">
        <v>0.10382691059084138</v>
      </c>
      <c r="T18" s="768">
        <v>0.19750504628030041</v>
      </c>
      <c r="U18" s="769">
        <f t="shared" si="5"/>
        <v>1.2222489720634329</v>
      </c>
      <c r="V18" s="770">
        <f t="shared" si="6"/>
        <v>4.9885506840758979E-4</v>
      </c>
      <c r="W18" s="771">
        <f t="shared" si="7"/>
        <v>4.7432673227231018E-4</v>
      </c>
      <c r="X18" s="767">
        <v>44.952755905511808</v>
      </c>
      <c r="Y18" s="768">
        <v>49.306209150326801</v>
      </c>
      <c r="Z18" s="768">
        <v>54.219417475728157</v>
      </c>
      <c r="AA18" s="768">
        <v>62.816602316602314</v>
      </c>
      <c r="AB18" s="769">
        <f t="shared" si="8"/>
        <v>1.0800743947036444</v>
      </c>
      <c r="AC18" s="770">
        <f t="shared" si="9"/>
        <v>3.7788620498625824E-4</v>
      </c>
      <c r="AD18" s="771">
        <f t="shared" si="10"/>
        <v>4.0305456979171188E-4</v>
      </c>
      <c r="AE18" s="767">
        <v>2.5780570869475228</v>
      </c>
      <c r="AF18" s="768">
        <v>3.103954081632653</v>
      </c>
      <c r="AG18" s="768">
        <v>3.1993660008402398</v>
      </c>
      <c r="AH18" s="768">
        <v>3.5502900474623118</v>
      </c>
      <c r="AI18" s="769">
        <f t="shared" si="11"/>
        <v>1.0719789765841485</v>
      </c>
      <c r="AJ18" s="770">
        <f t="shared" si="12"/>
        <v>3.8073994269732905E-4</v>
      </c>
      <c r="AK18" s="771">
        <f t="shared" si="13"/>
        <v>4.0505823872638336E-4</v>
      </c>
      <c r="AL18" s="767">
        <v>17.510031948881789</v>
      </c>
      <c r="AM18" s="768">
        <v>36.754445797807549</v>
      </c>
      <c r="AN18" s="768">
        <v>30.814419716755562</v>
      </c>
      <c r="AO18" s="768">
        <v>17.97569284596262</v>
      </c>
      <c r="AP18" s="772">
        <f t="shared" si="14"/>
        <v>0.90344938129174057</v>
      </c>
      <c r="AQ18" s="770">
        <f t="shared" si="15"/>
        <v>4.5176323385581301E-4</v>
      </c>
      <c r="AR18" s="771">
        <f t="shared" si="16"/>
        <v>4.9063334360059955E-4</v>
      </c>
      <c r="AT18" s="773">
        <f t="shared" si="30"/>
        <v>9.52433165543894E-5</v>
      </c>
      <c r="AU18" s="774">
        <f t="shared" si="17"/>
        <v>9.4865346454462037E-5</v>
      </c>
      <c r="AV18" s="774">
        <f t="shared" si="18"/>
        <v>8.0610913958342387E-5</v>
      </c>
      <c r="AW18" s="774">
        <f t="shared" si="19"/>
        <v>8.1011647745276674E-5</v>
      </c>
      <c r="AX18" s="775">
        <f t="shared" si="20"/>
        <v>9.8126668720119916E-5</v>
      </c>
      <c r="AY18" s="776">
        <f t="shared" si="31"/>
        <v>0.1022005841852231</v>
      </c>
      <c r="AZ18" s="777">
        <f t="shared" si="21"/>
        <v>12255.358610659294</v>
      </c>
      <c r="BA18" s="778">
        <f t="shared" si="21"/>
        <v>12206.72360626955</v>
      </c>
      <c r="BB18" s="778">
        <f t="shared" si="21"/>
        <v>10372.545751578593</v>
      </c>
      <c r="BC18" s="778">
        <f t="shared" si="21"/>
        <v>10424.109855433406</v>
      </c>
      <c r="BD18" s="778">
        <f t="shared" si="21"/>
        <v>12626.37167561981</v>
      </c>
      <c r="BE18" s="779">
        <f t="shared" si="22"/>
        <v>57885.109499560655</v>
      </c>
      <c r="BG18" s="780">
        <v>195234</v>
      </c>
      <c r="BH18" s="781">
        <f t="shared" si="23"/>
        <v>0.29649092627083734</v>
      </c>
      <c r="BI18" s="782">
        <f t="shared" si="24"/>
        <v>57885.109499560655</v>
      </c>
      <c r="BJ18" s="783">
        <f t="shared" si="25"/>
        <v>0</v>
      </c>
      <c r="BL18" s="784">
        <f t="shared" si="26"/>
        <v>0</v>
      </c>
      <c r="BM18" s="781">
        <f t="shared" si="27"/>
        <v>0</v>
      </c>
      <c r="BN18" s="785">
        <f t="shared" si="28"/>
        <v>0</v>
      </c>
      <c r="BO18" s="783">
        <f t="shared" si="41"/>
        <v>57885</v>
      </c>
      <c r="BQ18" s="786">
        <f t="shared" si="29"/>
        <v>0</v>
      </c>
      <c r="BR18" s="548"/>
      <c r="BS18" s="780">
        <f t="shared" si="32"/>
        <v>195234</v>
      </c>
      <c r="BT18" s="787">
        <f t="shared" si="33"/>
        <v>0.29649036540766466</v>
      </c>
      <c r="BU18" s="782">
        <f t="shared" si="34"/>
        <v>57885</v>
      </c>
      <c r="BV18" s="788">
        <f t="shared" si="35"/>
        <v>0</v>
      </c>
      <c r="BX18" s="789">
        <f t="shared" si="36"/>
        <v>0</v>
      </c>
      <c r="BY18" s="790">
        <f t="shared" si="37"/>
        <v>0</v>
      </c>
      <c r="BZ18" s="791">
        <f t="shared" si="38"/>
        <v>0</v>
      </c>
      <c r="CA18" s="792">
        <f t="shared" si="39"/>
        <v>57885</v>
      </c>
      <c r="CC18" s="793">
        <f t="shared" si="40"/>
        <v>0.29649036540766466</v>
      </c>
      <c r="CD18" s="672"/>
    </row>
    <row r="19" spans="1:82">
      <c r="A19" s="794" t="s">
        <v>222</v>
      </c>
      <c r="B19" s="764" t="s">
        <v>42</v>
      </c>
      <c r="C19" s="627">
        <v>119888784</v>
      </c>
      <c r="D19" s="175">
        <v>7133773</v>
      </c>
      <c r="E19" s="175">
        <v>955047</v>
      </c>
      <c r="F19" s="175">
        <v>13757219</v>
      </c>
      <c r="G19" s="795">
        <f t="shared" si="0"/>
        <v>0.20230195909759152</v>
      </c>
      <c r="H19" s="766">
        <f t="shared" si="1"/>
        <v>0.20230195909759152</v>
      </c>
      <c r="J19" s="767">
        <v>12.193537039037592</v>
      </c>
      <c r="K19" s="768">
        <v>6.640780447028594</v>
      </c>
      <c r="L19" s="768">
        <v>7.1961861955660096</v>
      </c>
      <c r="M19" s="768">
        <v>7.4695517602798605</v>
      </c>
      <c r="N19" s="769">
        <f t="shared" si="2"/>
        <v>0.92310493377221914</v>
      </c>
      <c r="O19" s="770">
        <f t="shared" si="3"/>
        <v>0.1867459365547724</v>
      </c>
      <c r="P19" s="771">
        <f t="shared" si="4"/>
        <v>0.17684862609942026</v>
      </c>
      <c r="Q19" s="767">
        <v>0.90434093823673278</v>
      </c>
      <c r="R19" s="768">
        <v>0.46622665154015291</v>
      </c>
      <c r="S19" s="768">
        <v>0.49455273703023678</v>
      </c>
      <c r="T19" s="768">
        <v>0.51854760762331398</v>
      </c>
      <c r="U19" s="769">
        <f t="shared" si="5"/>
        <v>0.90269772340845067</v>
      </c>
      <c r="V19" s="770">
        <f t="shared" si="6"/>
        <v>0.18261751791846537</v>
      </c>
      <c r="W19" s="771">
        <f t="shared" si="7"/>
        <v>0.17363834912302126</v>
      </c>
      <c r="X19" s="767">
        <v>89.156752379659721</v>
      </c>
      <c r="Y19" s="768">
        <v>107.97198556298591</v>
      </c>
      <c r="Z19" s="768">
        <v>112.49719845156518</v>
      </c>
      <c r="AA19" s="768">
        <v>125.82563161812979</v>
      </c>
      <c r="AB19" s="769">
        <f t="shared" si="8"/>
        <v>1.0776912350820134</v>
      </c>
      <c r="AC19" s="770">
        <f t="shared" si="9"/>
        <v>0.18771792189828485</v>
      </c>
      <c r="AD19" s="771">
        <f t="shared" si="10"/>
        <v>0.20022050356577253</v>
      </c>
      <c r="AE19" s="767">
        <v>6.6123636512548227</v>
      </c>
      <c r="AF19" s="768">
        <v>7.5803465708156237</v>
      </c>
      <c r="AG19" s="768">
        <v>7.7312893094311175</v>
      </c>
      <c r="AH19" s="768">
        <v>8.735006108429328</v>
      </c>
      <c r="AI19" s="769">
        <f t="shared" si="11"/>
        <v>1.0599998872255201</v>
      </c>
      <c r="AJ19" s="770">
        <f t="shared" si="12"/>
        <v>0.19085092511387297</v>
      </c>
      <c r="AK19" s="771">
        <f t="shared" si="13"/>
        <v>0.20304079219600246</v>
      </c>
      <c r="AL19" s="767">
        <v>7.311803957639567</v>
      </c>
      <c r="AM19" s="768">
        <v>16.258930170067252</v>
      </c>
      <c r="AN19" s="768">
        <v>15.632891561488677</v>
      </c>
      <c r="AO19" s="768">
        <v>16.845138189847084</v>
      </c>
      <c r="AP19" s="769">
        <f t="shared" si="14"/>
        <v>1.1852646901926562</v>
      </c>
      <c r="AQ19" s="770">
        <f t="shared" si="15"/>
        <v>0.17068082831752021</v>
      </c>
      <c r="AR19" s="771">
        <f t="shared" si="16"/>
        <v>0.18536635832714143</v>
      </c>
      <c r="AT19" s="773">
        <f t="shared" si="30"/>
        <v>3.5369725219884053E-2</v>
      </c>
      <c r="AU19" s="774">
        <f t="shared" si="17"/>
        <v>3.4727669824604256E-2</v>
      </c>
      <c r="AV19" s="774">
        <f t="shared" si="18"/>
        <v>4.0044100713154507E-2</v>
      </c>
      <c r="AW19" s="774">
        <f t="shared" si="19"/>
        <v>4.0608158439200494E-2</v>
      </c>
      <c r="AX19" s="775">
        <f t="shared" si="20"/>
        <v>3.7073271665428287E-2</v>
      </c>
      <c r="AY19" s="776">
        <f t="shared" si="31"/>
        <v>-7.1571394068087948E-2</v>
      </c>
      <c r="AZ19" s="777">
        <f t="shared" si="21"/>
        <v>4551171.4859553818</v>
      </c>
      <c r="BA19" s="778">
        <f t="shared" si="21"/>
        <v>4468555.5145494612</v>
      </c>
      <c r="BB19" s="778">
        <f t="shared" si="21"/>
        <v>5152643.0644696932</v>
      </c>
      <c r="BC19" s="778">
        <f t="shared" si="21"/>
        <v>5225222.7473271154</v>
      </c>
      <c r="BD19" s="778">
        <f t="shared" si="21"/>
        <v>4770373.9807376405</v>
      </c>
      <c r="BE19" s="779">
        <f t="shared" si="22"/>
        <v>24167966.793039292</v>
      </c>
      <c r="BG19" s="780">
        <v>120169392</v>
      </c>
      <c r="BH19" s="781">
        <f t="shared" si="23"/>
        <v>0.20111582817227944</v>
      </c>
      <c r="BI19" s="782">
        <f t="shared" si="24"/>
        <v>24167966.793039292</v>
      </c>
      <c r="BJ19" s="783">
        <f t="shared" si="25"/>
        <v>0</v>
      </c>
      <c r="BL19" s="784">
        <f t="shared" si="26"/>
        <v>24167966.793039292</v>
      </c>
      <c r="BM19" s="781">
        <f t="shared" si="27"/>
        <v>0.28422202169893807</v>
      </c>
      <c r="BN19" s="785">
        <f t="shared" si="28"/>
        <v>769799.05692305358</v>
      </c>
      <c r="BO19" s="783">
        <f>ROUND((BN19+BI19),0)</f>
        <v>24937766</v>
      </c>
      <c r="BQ19" s="786">
        <f t="shared" si="29"/>
        <v>0</v>
      </c>
      <c r="BR19" s="548"/>
      <c r="BS19" s="780">
        <f t="shared" si="32"/>
        <v>120169392</v>
      </c>
      <c r="BT19" s="787">
        <f t="shared" si="33"/>
        <v>0.20752177892353821</v>
      </c>
      <c r="BU19" s="782">
        <f t="shared" si="34"/>
        <v>24937766</v>
      </c>
      <c r="BV19" s="788">
        <f t="shared" si="35"/>
        <v>0</v>
      </c>
      <c r="BX19" s="789">
        <f t="shared" si="36"/>
        <v>24937766</v>
      </c>
      <c r="BY19" s="790">
        <f t="shared" si="37"/>
        <v>0.28422202710378447</v>
      </c>
      <c r="BZ19" s="791">
        <f t="shared" si="38"/>
        <v>0.25579982185226308</v>
      </c>
      <c r="CA19" s="792">
        <f t="shared" si="39"/>
        <v>24937766</v>
      </c>
      <c r="CC19" s="793">
        <f t="shared" si="40"/>
        <v>0.20752177892353821</v>
      </c>
      <c r="CD19" s="672"/>
    </row>
    <row r="20" spans="1:82">
      <c r="A20" s="794" t="s">
        <v>222</v>
      </c>
      <c r="B20" s="764" t="s">
        <v>53</v>
      </c>
      <c r="C20" s="627">
        <v>1246809</v>
      </c>
      <c r="D20" s="175">
        <v>91713</v>
      </c>
      <c r="E20" s="175">
        <v>20260</v>
      </c>
      <c r="F20" s="175">
        <v>510877</v>
      </c>
      <c r="G20" s="795">
        <f t="shared" si="0"/>
        <v>3.0256664960320464E-3</v>
      </c>
      <c r="H20" s="766">
        <f t="shared" si="1"/>
        <v>3.0256664960320464E-3</v>
      </c>
      <c r="J20" s="767">
        <v>5.1587647801630121</v>
      </c>
      <c r="K20" s="768">
        <v>2.5445369916707494</v>
      </c>
      <c r="L20" s="768">
        <v>3.1323175227328584</v>
      </c>
      <c r="M20" s="768">
        <v>4.5268015794669303</v>
      </c>
      <c r="N20" s="769">
        <f t="shared" si="2"/>
        <v>1.0414257978498263</v>
      </c>
      <c r="O20" s="770">
        <f t="shared" si="3"/>
        <v>3.1510071446576621E-3</v>
      </c>
      <c r="P20" s="771">
        <f t="shared" si="4"/>
        <v>2.9840075486661176E-3</v>
      </c>
      <c r="Q20" s="767">
        <v>0.22008311029377553</v>
      </c>
      <c r="R20" s="768">
        <v>0.1120356208297289</v>
      </c>
      <c r="S20" s="768">
        <v>0.13193504175827817</v>
      </c>
      <c r="T20" s="768">
        <v>0.17952070654971744</v>
      </c>
      <c r="U20" s="769">
        <f t="shared" si="5"/>
        <v>1.0164527966738026</v>
      </c>
      <c r="V20" s="770">
        <f t="shared" si="6"/>
        <v>3.0754471716939982E-3</v>
      </c>
      <c r="W20" s="771">
        <f t="shared" si="7"/>
        <v>2.9242297003863383E-3</v>
      </c>
      <c r="X20" s="767">
        <v>42.671162897485935</v>
      </c>
      <c r="Y20" s="768">
        <v>48.696570308672221</v>
      </c>
      <c r="Z20" s="768">
        <v>59.030916687146721</v>
      </c>
      <c r="AA20" s="768">
        <v>61.540424481737411</v>
      </c>
      <c r="AB20" s="769">
        <f t="shared" si="8"/>
        <v>1.0880724721451041</v>
      </c>
      <c r="AC20" s="770">
        <f t="shared" si="9"/>
        <v>2.780758243122382E-3</v>
      </c>
      <c r="AD20" s="771">
        <f t="shared" si="10"/>
        <v>2.9659651572017712E-3</v>
      </c>
      <c r="AE20" s="767">
        <v>1.8204362188489445</v>
      </c>
      <c r="AF20" s="768">
        <v>2.1441034281165527</v>
      </c>
      <c r="AG20" s="768">
        <v>2.4864166552799274</v>
      </c>
      <c r="AH20" s="768">
        <v>2.4405267804187702</v>
      </c>
      <c r="AI20" s="769">
        <f t="shared" si="11"/>
        <v>1.063030778927097</v>
      </c>
      <c r="AJ20" s="770">
        <f t="shared" si="12"/>
        <v>2.8462642437181471E-3</v>
      </c>
      <c r="AK20" s="771">
        <f t="shared" si="13"/>
        <v>3.0280583995014663E-3</v>
      </c>
      <c r="AL20" s="767">
        <v>8.2715852952957416</v>
      </c>
      <c r="AM20" s="768">
        <v>19.13769399622598</v>
      </c>
      <c r="AN20" s="768">
        <v>18.84576396189998</v>
      </c>
      <c r="AO20" s="768">
        <v>13.594681233849073</v>
      </c>
      <c r="AP20" s="772">
        <f t="shared" si="14"/>
        <v>1.0553612396000409</v>
      </c>
      <c r="AQ20" s="770">
        <f t="shared" si="15"/>
        <v>2.8669486641168559E-3</v>
      </c>
      <c r="AR20" s="771">
        <f t="shared" si="16"/>
        <v>3.1136234726349358E-3</v>
      </c>
      <c r="AT20" s="773">
        <f t="shared" si="30"/>
        <v>5.9680150973322361E-4</v>
      </c>
      <c r="AU20" s="774">
        <f t="shared" si="17"/>
        <v>5.8484594007726773E-4</v>
      </c>
      <c r="AV20" s="774">
        <f t="shared" si="18"/>
        <v>5.9319303144035433E-4</v>
      </c>
      <c r="AW20" s="774">
        <f t="shared" si="19"/>
        <v>6.0561167990029333E-4</v>
      </c>
      <c r="AX20" s="775">
        <f t="shared" si="20"/>
        <v>6.227246945269872E-4</v>
      </c>
      <c r="AY20" s="776">
        <f t="shared" si="31"/>
        <v>-7.4329541551964775E-3</v>
      </c>
      <c r="AZ20" s="777">
        <f t="shared" si="21"/>
        <v>76792.963388531367</v>
      </c>
      <c r="BA20" s="778">
        <f t="shared" si="21"/>
        <v>75254.589895995698</v>
      </c>
      <c r="BB20" s="778">
        <f t="shared" si="21"/>
        <v>76328.645291285793</v>
      </c>
      <c r="BC20" s="778">
        <f t="shared" si="21"/>
        <v>77926.605083554809</v>
      </c>
      <c r="BD20" s="778">
        <f t="shared" si="21"/>
        <v>80128.60873847609</v>
      </c>
      <c r="BE20" s="779">
        <f t="shared" si="22"/>
        <v>386431.41239784379</v>
      </c>
      <c r="BG20" s="780">
        <v>1246809</v>
      </c>
      <c r="BH20" s="781">
        <f t="shared" si="23"/>
        <v>0.3099363353952721</v>
      </c>
      <c r="BI20" s="782">
        <f t="shared" si="24"/>
        <v>374042.7</v>
      </c>
      <c r="BJ20" s="783">
        <f t="shared" si="25"/>
        <v>12388.712397843774</v>
      </c>
      <c r="BL20" s="784">
        <f t="shared" si="26"/>
        <v>0</v>
      </c>
      <c r="BM20" s="781">
        <f t="shared" si="27"/>
        <v>0</v>
      </c>
      <c r="BN20" s="785">
        <f t="shared" si="28"/>
        <v>0</v>
      </c>
      <c r="BO20" s="783">
        <f t="shared" si="41"/>
        <v>374043</v>
      </c>
      <c r="BQ20" s="786">
        <f t="shared" si="29"/>
        <v>1</v>
      </c>
      <c r="BR20" s="548"/>
      <c r="BS20" s="780">
        <f t="shared" si="32"/>
        <v>1246809</v>
      </c>
      <c r="BT20" s="787">
        <f t="shared" si="33"/>
        <v>0.30000024061424002</v>
      </c>
      <c r="BU20" s="782">
        <f t="shared" si="34"/>
        <v>374042.7</v>
      </c>
      <c r="BV20" s="788">
        <f t="shared" si="35"/>
        <v>0.29999999998835847</v>
      </c>
      <c r="BX20" s="789">
        <f t="shared" si="36"/>
        <v>0</v>
      </c>
      <c r="BY20" s="790">
        <f t="shared" si="37"/>
        <v>0</v>
      </c>
      <c r="BZ20" s="791">
        <f t="shared" si="38"/>
        <v>0</v>
      </c>
      <c r="CA20" s="792">
        <f t="shared" si="39"/>
        <v>374043</v>
      </c>
      <c r="CC20" s="793">
        <f t="shared" si="40"/>
        <v>0.30000024061424002</v>
      </c>
      <c r="CD20" s="672"/>
    </row>
    <row r="21" spans="1:82">
      <c r="A21" s="794" t="s">
        <v>222</v>
      </c>
      <c r="B21" s="764" t="s">
        <v>59</v>
      </c>
      <c r="C21" s="627">
        <v>50424</v>
      </c>
      <c r="D21" s="175">
        <v>3145</v>
      </c>
      <c r="E21" s="175">
        <v>502</v>
      </c>
      <c r="F21" s="175">
        <v>4641</v>
      </c>
      <c r="G21" s="765">
        <f t="shared" si="0"/>
        <v>8.643419050477315E-5</v>
      </c>
      <c r="H21" s="766">
        <f t="shared" si="1"/>
        <v>8.643419050477315E-5</v>
      </c>
      <c r="J21" s="767">
        <v>8.9790310918293557</v>
      </c>
      <c r="K21" s="768">
        <v>1.0119225037257824</v>
      </c>
      <c r="L21" s="768">
        <v>3.4102272727272727</v>
      </c>
      <c r="M21" s="768">
        <v>6.2649402390438249</v>
      </c>
      <c r="N21" s="769">
        <f t="shared" si="2"/>
        <v>1.4571700207400993</v>
      </c>
      <c r="O21" s="770">
        <f t="shared" si="3"/>
        <v>1.2594931117049398E-4</v>
      </c>
      <c r="P21" s="771">
        <f t="shared" si="4"/>
        <v>1.1927414887625838E-4</v>
      </c>
      <c r="Q21" s="767">
        <v>0.71335018382352944</v>
      </c>
      <c r="R21" s="768">
        <v>0.14279705573080967</v>
      </c>
      <c r="S21" s="768">
        <v>0.44282130736314002</v>
      </c>
      <c r="T21" s="768">
        <v>0.67765567765567769</v>
      </c>
      <c r="U21" s="769">
        <f t="shared" si="5"/>
        <v>1.3760274920295139</v>
      </c>
      <c r="V21" s="770">
        <f t="shared" si="6"/>
        <v>1.1893582238588422E-4</v>
      </c>
      <c r="W21" s="771">
        <f t="shared" si="7"/>
        <v>1.1308783563630727E-4</v>
      </c>
      <c r="X21" s="767">
        <v>67.96963123644251</v>
      </c>
      <c r="Y21" s="768">
        <v>58.488077496274215</v>
      </c>
      <c r="Z21" s="768">
        <v>76.226136363636357</v>
      </c>
      <c r="AA21" s="768">
        <v>100.44621513944223</v>
      </c>
      <c r="AB21" s="769">
        <f t="shared" si="8"/>
        <v>1.1402815557474089</v>
      </c>
      <c r="AC21" s="770">
        <f t="shared" si="9"/>
        <v>7.5800744183851152E-5</v>
      </c>
      <c r="AD21" s="771">
        <f t="shared" si="10"/>
        <v>8.0849303133531282E-5</v>
      </c>
      <c r="AE21" s="767">
        <v>5.399931066176471</v>
      </c>
      <c r="AF21" s="768">
        <v>8.2535226077812833</v>
      </c>
      <c r="AG21" s="768">
        <v>9.8980374797107871</v>
      </c>
      <c r="AH21" s="768">
        <v>10.864899806076277</v>
      </c>
      <c r="AI21" s="769">
        <f t="shared" si="11"/>
        <v>1.2123808252271491</v>
      </c>
      <c r="AJ21" s="770">
        <f t="shared" si="12"/>
        <v>7.1292937587147197E-5</v>
      </c>
      <c r="AK21" s="771">
        <f t="shared" si="13"/>
        <v>7.5846499130343019E-5</v>
      </c>
      <c r="AL21" s="767">
        <v>7.5698180061201485</v>
      </c>
      <c r="AM21" s="768">
        <v>57.798969072164951</v>
      </c>
      <c r="AN21" s="768">
        <v>22.352215928023991</v>
      </c>
      <c r="AO21" s="768">
        <v>16.033068362480126</v>
      </c>
      <c r="AP21" s="772">
        <f t="shared" si="14"/>
        <v>1.5437268946082094</v>
      </c>
      <c r="AQ21" s="770">
        <f t="shared" si="15"/>
        <v>5.5990597045800471E-5</v>
      </c>
      <c r="AR21" s="771">
        <f t="shared" si="16"/>
        <v>6.080807772759717E-5</v>
      </c>
      <c r="AT21" s="773">
        <f t="shared" si="30"/>
        <v>2.3854829775251675E-5</v>
      </c>
      <c r="AU21" s="774">
        <f t="shared" si="17"/>
        <v>2.2617567127261457E-5</v>
      </c>
      <c r="AV21" s="774">
        <f t="shared" si="18"/>
        <v>1.6169860626706257E-5</v>
      </c>
      <c r="AW21" s="774">
        <f t="shared" si="19"/>
        <v>1.5169299826068605E-5</v>
      </c>
      <c r="AX21" s="775">
        <f t="shared" si="20"/>
        <v>1.2161615545519435E-5</v>
      </c>
      <c r="AY21" s="776">
        <f t="shared" si="31"/>
        <v>4.0944241802540297E-2</v>
      </c>
      <c r="AZ21" s="777">
        <f t="shared" si="21"/>
        <v>3069.5013998698169</v>
      </c>
      <c r="BA21" s="778">
        <f t="shared" si="21"/>
        <v>2910.2976048399046</v>
      </c>
      <c r="BB21" s="778">
        <f t="shared" si="21"/>
        <v>2080.6440581213933</v>
      </c>
      <c r="BC21" s="778">
        <f t="shared" si="21"/>
        <v>1951.8976865418149</v>
      </c>
      <c r="BD21" s="778">
        <f t="shared" si="21"/>
        <v>1564.8862848050478</v>
      </c>
      <c r="BE21" s="779">
        <f t="shared" si="22"/>
        <v>11577.227034177979</v>
      </c>
      <c r="BG21" s="780">
        <v>50424</v>
      </c>
      <c r="BH21" s="781">
        <f t="shared" si="23"/>
        <v>0.2295975534304692</v>
      </c>
      <c r="BI21" s="782">
        <f t="shared" si="24"/>
        <v>11577.227034177979</v>
      </c>
      <c r="BJ21" s="783">
        <f t="shared" si="25"/>
        <v>0</v>
      </c>
      <c r="BL21" s="784">
        <f t="shared" si="26"/>
        <v>11577.227034177979</v>
      </c>
      <c r="BM21" s="781">
        <f t="shared" si="27"/>
        <v>1.3615141486661493E-4</v>
      </c>
      <c r="BN21" s="785">
        <f t="shared" si="28"/>
        <v>368.75830428818313</v>
      </c>
      <c r="BO21" s="783">
        <f t="shared" si="41"/>
        <v>11946</v>
      </c>
      <c r="BQ21" s="786">
        <f t="shared" si="29"/>
        <v>0</v>
      </c>
      <c r="BR21" s="548"/>
      <c r="BS21" s="780">
        <f t="shared" si="32"/>
        <v>50424</v>
      </c>
      <c r="BT21" s="787">
        <f t="shared" si="33"/>
        <v>0.23691099476439789</v>
      </c>
      <c r="BU21" s="782">
        <f t="shared" si="34"/>
        <v>11946</v>
      </c>
      <c r="BV21" s="788">
        <f t="shared" si="35"/>
        <v>0</v>
      </c>
      <c r="BX21" s="789">
        <f t="shared" si="36"/>
        <v>11946</v>
      </c>
      <c r="BY21" s="790">
        <f t="shared" si="37"/>
        <v>1.361515837377658E-4</v>
      </c>
      <c r="BZ21" s="791">
        <f t="shared" si="38"/>
        <v>1.225364241466992E-4</v>
      </c>
      <c r="CA21" s="792">
        <f t="shared" si="39"/>
        <v>11946</v>
      </c>
      <c r="CC21" s="793">
        <f t="shared" si="40"/>
        <v>0.23691099476439789</v>
      </c>
      <c r="CD21" s="672"/>
    </row>
    <row r="22" spans="1:82">
      <c r="A22" s="794" t="s">
        <v>222</v>
      </c>
      <c r="B22" s="764" t="s">
        <v>61</v>
      </c>
      <c r="C22" s="627">
        <v>7910674</v>
      </c>
      <c r="D22" s="175">
        <v>1655082</v>
      </c>
      <c r="E22" s="175">
        <v>71283</v>
      </c>
      <c r="F22" s="175">
        <v>1099660</v>
      </c>
      <c r="G22" s="795">
        <f t="shared" si="0"/>
        <v>2.1339574910117141E-2</v>
      </c>
      <c r="H22" s="766">
        <f t="shared" si="1"/>
        <v>2.1339574910117141E-2</v>
      </c>
      <c r="J22" s="767">
        <v>23.310953988801508</v>
      </c>
      <c r="K22" s="768">
        <v>14.316342020333447</v>
      </c>
      <c r="L22" s="768">
        <v>19.466079261836335</v>
      </c>
      <c r="M22" s="768">
        <v>23.218467236227433</v>
      </c>
      <c r="N22" s="769">
        <f t="shared" si="2"/>
        <v>1.0827952067365614</v>
      </c>
      <c r="O22" s="770">
        <f t="shared" si="3"/>
        <v>2.3106389426470628E-2</v>
      </c>
      <c r="P22" s="771">
        <f t="shared" si="4"/>
        <v>2.1881778525290611E-2</v>
      </c>
      <c r="Q22" s="767">
        <v>1.6285925776934442</v>
      </c>
      <c r="R22" s="768">
        <v>1.0462325686324412</v>
      </c>
      <c r="S22" s="768">
        <v>1.4050534441156883</v>
      </c>
      <c r="T22" s="768">
        <v>1.5050852081552479</v>
      </c>
      <c r="U22" s="769">
        <f t="shared" si="5"/>
        <v>1.0649155001693644</v>
      </c>
      <c r="V22" s="770">
        <f t="shared" si="6"/>
        <v>2.2724844088809017E-2</v>
      </c>
      <c r="W22" s="771">
        <f t="shared" si="7"/>
        <v>2.160748024962536E-2</v>
      </c>
      <c r="X22" s="767">
        <v>79.983720905617247</v>
      </c>
      <c r="Y22" s="768">
        <v>90.654407919074401</v>
      </c>
      <c r="Z22" s="768">
        <v>94.089194776382797</v>
      </c>
      <c r="AA22" s="768">
        <v>110.97560428152575</v>
      </c>
      <c r="AB22" s="769">
        <f t="shared" si="8"/>
        <v>1.0770025946706425</v>
      </c>
      <c r="AC22" s="770">
        <f t="shared" si="9"/>
        <v>1.9813856545668751E-2</v>
      </c>
      <c r="AD22" s="771">
        <f t="shared" si="10"/>
        <v>2.1133519351995464E-2</v>
      </c>
      <c r="AE22" s="767">
        <v>5.5879692553882192</v>
      </c>
      <c r="AF22" s="768">
        <v>6.6249879976545323</v>
      </c>
      <c r="AG22" s="768">
        <v>6.7913186521237527</v>
      </c>
      <c r="AH22" s="768">
        <v>7.1937453394685633</v>
      </c>
      <c r="AI22" s="769">
        <f t="shared" si="11"/>
        <v>1.0470712277412029</v>
      </c>
      <c r="AJ22" s="770">
        <f t="shared" si="12"/>
        <v>2.0380251452570226E-2</v>
      </c>
      <c r="AK22" s="771">
        <f t="shared" si="13"/>
        <v>2.168196144511534E-2</v>
      </c>
      <c r="AL22" s="767">
        <v>3.4311646337614974</v>
      </c>
      <c r="AM22" s="768">
        <v>6.3322326185221254</v>
      </c>
      <c r="AN22" s="768">
        <v>4.833494896984555</v>
      </c>
      <c r="AO22" s="768">
        <v>4.779626628771263</v>
      </c>
      <c r="AP22" s="769">
        <f t="shared" si="14"/>
        <v>1.0093254200826904</v>
      </c>
      <c r="AQ22" s="770">
        <f t="shared" si="15"/>
        <v>2.1142413027077894E-2</v>
      </c>
      <c r="AR22" s="771">
        <f t="shared" si="16"/>
        <v>2.2961525015492635E-2</v>
      </c>
      <c r="AT22" s="773">
        <f t="shared" si="30"/>
        <v>4.3763557050581223E-3</v>
      </c>
      <c r="AU22" s="774">
        <f t="shared" si="17"/>
        <v>4.3214960499250721E-3</v>
      </c>
      <c r="AV22" s="774">
        <f t="shared" si="18"/>
        <v>4.2267038703990931E-3</v>
      </c>
      <c r="AW22" s="774">
        <f t="shared" si="19"/>
        <v>4.3363922890230682E-3</v>
      </c>
      <c r="AX22" s="775">
        <f t="shared" si="20"/>
        <v>4.5923050030985272E-3</v>
      </c>
      <c r="AY22" s="776">
        <f t="shared" si="31"/>
        <v>2.4071613870021592E-2</v>
      </c>
      <c r="AZ22" s="777">
        <f t="shared" si="21"/>
        <v>563124.11740370258</v>
      </c>
      <c r="BA22" s="778">
        <f t="shared" si="21"/>
        <v>556065.09456372529</v>
      </c>
      <c r="BB22" s="778">
        <f t="shared" si="21"/>
        <v>543867.7856542496</v>
      </c>
      <c r="BC22" s="778">
        <f t="shared" si="21"/>
        <v>557981.85637652723</v>
      </c>
      <c r="BD22" s="778">
        <f t="shared" si="21"/>
        <v>590911.22294505558</v>
      </c>
      <c r="BE22" s="779">
        <f t="shared" si="22"/>
        <v>2811950.0769432602</v>
      </c>
      <c r="BG22" s="780">
        <v>7910674</v>
      </c>
      <c r="BH22" s="781">
        <f t="shared" si="23"/>
        <v>0.35546276801992599</v>
      </c>
      <c r="BI22" s="782">
        <f t="shared" si="24"/>
        <v>2373202.1999999997</v>
      </c>
      <c r="BJ22" s="783">
        <f t="shared" si="25"/>
        <v>438747.87694326043</v>
      </c>
      <c r="BL22" s="784">
        <f t="shared" si="26"/>
        <v>0</v>
      </c>
      <c r="BM22" s="781">
        <f t="shared" si="27"/>
        <v>0</v>
      </c>
      <c r="BN22" s="785">
        <f t="shared" si="28"/>
        <v>0</v>
      </c>
      <c r="BO22" s="783">
        <f t="shared" si="41"/>
        <v>2373202</v>
      </c>
      <c r="BQ22" s="786">
        <f t="shared" si="29"/>
        <v>0</v>
      </c>
      <c r="BR22" s="548"/>
      <c r="BS22" s="780">
        <f t="shared" si="32"/>
        <v>7910674</v>
      </c>
      <c r="BT22" s="787">
        <f t="shared" si="33"/>
        <v>0.29999997471770423</v>
      </c>
      <c r="BU22" s="782">
        <f t="shared" si="34"/>
        <v>2373202</v>
      </c>
      <c r="BV22" s="788">
        <f t="shared" si="35"/>
        <v>0</v>
      </c>
      <c r="BX22" s="789">
        <f t="shared" si="36"/>
        <v>0</v>
      </c>
      <c r="BY22" s="790">
        <f t="shared" si="37"/>
        <v>0</v>
      </c>
      <c r="BZ22" s="791">
        <f t="shared" si="38"/>
        <v>0</v>
      </c>
      <c r="CA22" s="792">
        <f t="shared" si="39"/>
        <v>2373202</v>
      </c>
      <c r="CC22" s="793">
        <f t="shared" si="40"/>
        <v>0.29999997471770423</v>
      </c>
      <c r="CD22" s="672"/>
    </row>
    <row r="23" spans="1:82">
      <c r="A23" s="794" t="s">
        <v>223</v>
      </c>
      <c r="B23" s="764" t="s">
        <v>34</v>
      </c>
      <c r="C23" s="627">
        <v>3419477</v>
      </c>
      <c r="D23" s="175">
        <v>235586</v>
      </c>
      <c r="E23" s="175">
        <v>29937</v>
      </c>
      <c r="F23" s="175">
        <v>470807</v>
      </c>
      <c r="G23" s="765">
        <f t="shared" si="0"/>
        <v>6.1574617445875916E-3</v>
      </c>
      <c r="H23" s="766">
        <f t="shared" si="1"/>
        <v>6.1574617445875916E-3</v>
      </c>
      <c r="J23" s="767">
        <v>8.8925454444382677</v>
      </c>
      <c r="K23" s="768">
        <v>5.7639186016175321</v>
      </c>
      <c r="L23" s="768">
        <v>6.4797153630255435</v>
      </c>
      <c r="M23" s="768">
        <v>7.8693923906871097</v>
      </c>
      <c r="N23" s="769">
        <f t="shared" si="2"/>
        <v>1.0499909933163976</v>
      </c>
      <c r="O23" s="770">
        <f t="shared" si="3"/>
        <v>6.4652793735072434E-3</v>
      </c>
      <c r="P23" s="771">
        <f t="shared" si="4"/>
        <v>6.1226273280560808E-3</v>
      </c>
      <c r="Q23" s="767">
        <v>0.59288580032429927</v>
      </c>
      <c r="R23" s="768">
        <v>0.39323250859241093</v>
      </c>
      <c r="S23" s="768">
        <v>0.42963025620782347</v>
      </c>
      <c r="T23" s="768">
        <v>0.50038763229943484</v>
      </c>
      <c r="U23" s="769">
        <f t="shared" si="5"/>
        <v>1.0379042251721813</v>
      </c>
      <c r="V23" s="770">
        <f t="shared" si="6"/>
        <v>6.3908555610435319E-3</v>
      </c>
      <c r="W23" s="771">
        <f t="shared" si="7"/>
        <v>6.0766219021700521E-3</v>
      </c>
      <c r="X23" s="767">
        <v>81.611429206737455</v>
      </c>
      <c r="Y23" s="768">
        <v>72.997808505087406</v>
      </c>
      <c r="Z23" s="768">
        <v>89.842457403679873</v>
      </c>
      <c r="AA23" s="768">
        <v>122.89167251227578</v>
      </c>
      <c r="AB23" s="769">
        <f t="shared" si="8"/>
        <v>1.1433754529366269</v>
      </c>
      <c r="AC23" s="770">
        <f t="shared" si="9"/>
        <v>5.385336661525195E-3</v>
      </c>
      <c r="AD23" s="771">
        <f t="shared" si="10"/>
        <v>5.7440163802049988E-3</v>
      </c>
      <c r="AE23" s="767">
        <v>5.4412156590224692</v>
      </c>
      <c r="AF23" s="768">
        <v>4.9801382261276927</v>
      </c>
      <c r="AG23" s="768">
        <v>5.9569033252504751</v>
      </c>
      <c r="AH23" s="768">
        <v>7.8142593461864411</v>
      </c>
      <c r="AI23" s="769">
        <f t="shared" si="11"/>
        <v>1.1229656613500592</v>
      </c>
      <c r="AJ23" s="770">
        <f t="shared" si="12"/>
        <v>5.4832146311445777E-3</v>
      </c>
      <c r="AK23" s="771">
        <f t="shared" si="13"/>
        <v>5.833433827077527E-3</v>
      </c>
      <c r="AL23" s="767">
        <v>9.1775105021004197</v>
      </c>
      <c r="AM23" s="768">
        <v>12.664614743969837</v>
      </c>
      <c r="AN23" s="768">
        <v>13.865185794477576</v>
      </c>
      <c r="AO23" s="768">
        <v>15.616411841111102</v>
      </c>
      <c r="AP23" s="772">
        <f t="shared" si="14"/>
        <v>1.1449369771833227</v>
      </c>
      <c r="AQ23" s="770">
        <f t="shared" si="15"/>
        <v>5.3779918609456216E-3</v>
      </c>
      <c r="AR23" s="771">
        <f t="shared" si="16"/>
        <v>5.8407190555810401E-3</v>
      </c>
      <c r="AT23" s="773">
        <f t="shared" si="30"/>
        <v>1.2245254656112162E-3</v>
      </c>
      <c r="AU23" s="774">
        <f t="shared" si="17"/>
        <v>1.2153243804340105E-3</v>
      </c>
      <c r="AV23" s="774">
        <f t="shared" si="18"/>
        <v>1.1488032760409998E-3</v>
      </c>
      <c r="AW23" s="774">
        <f t="shared" si="19"/>
        <v>1.1666867654155054E-3</v>
      </c>
      <c r="AX23" s="775">
        <f t="shared" si="20"/>
        <v>1.168143811116208E-3</v>
      </c>
      <c r="AY23" s="776">
        <f t="shared" si="31"/>
        <v>-3.7999106722070609E-2</v>
      </c>
      <c r="AZ23" s="777">
        <f t="shared" si="21"/>
        <v>157564.84813693087</v>
      </c>
      <c r="BA23" s="778">
        <f t="shared" si="21"/>
        <v>156380.90576141013</v>
      </c>
      <c r="BB23" s="778">
        <f t="shared" si="21"/>
        <v>147821.35513879085</v>
      </c>
      <c r="BC23" s="778">
        <f t="shared" si="21"/>
        <v>150122.49902398224</v>
      </c>
      <c r="BD23" s="778">
        <f t="shared" si="21"/>
        <v>150309.9832299111</v>
      </c>
      <c r="BE23" s="779">
        <f t="shared" si="22"/>
        <v>762199.59129102516</v>
      </c>
      <c r="BG23" s="780">
        <v>3679008</v>
      </c>
      <c r="BH23" s="781">
        <f t="shared" si="23"/>
        <v>0.20717530141033266</v>
      </c>
      <c r="BI23" s="782">
        <f t="shared" si="24"/>
        <v>762199.59129102516</v>
      </c>
      <c r="BJ23" s="783">
        <f t="shared" si="25"/>
        <v>0</v>
      </c>
      <c r="BL23" s="784">
        <f t="shared" si="26"/>
        <v>762199.59129102516</v>
      </c>
      <c r="BM23" s="781">
        <f t="shared" si="27"/>
        <v>8.9636795113949355E-3</v>
      </c>
      <c r="BN23" s="785">
        <f t="shared" si="28"/>
        <v>24277.612245476827</v>
      </c>
      <c r="BO23" s="783">
        <f t="shared" si="41"/>
        <v>786477</v>
      </c>
      <c r="BQ23" s="786">
        <f t="shared" si="29"/>
        <v>0</v>
      </c>
      <c r="BR23" s="548"/>
      <c r="BS23" s="780">
        <f t="shared" si="32"/>
        <v>3679008</v>
      </c>
      <c r="BT23" s="787">
        <f t="shared" si="33"/>
        <v>0.21377420217623883</v>
      </c>
      <c r="BU23" s="782">
        <f t="shared" si="34"/>
        <v>786477</v>
      </c>
      <c r="BV23" s="788">
        <f t="shared" si="35"/>
        <v>0</v>
      </c>
      <c r="BX23" s="789">
        <f t="shared" si="36"/>
        <v>786477</v>
      </c>
      <c r="BY23" s="790">
        <f t="shared" si="37"/>
        <v>8.963677308163975E-3</v>
      </c>
      <c r="BZ23" s="791">
        <f t="shared" si="38"/>
        <v>8.0673094972060575E-3</v>
      </c>
      <c r="CA23" s="792">
        <f t="shared" si="39"/>
        <v>786477</v>
      </c>
      <c r="CC23" s="793">
        <f t="shared" si="40"/>
        <v>0.21377420217623883</v>
      </c>
      <c r="CD23" s="672"/>
    </row>
    <row r="24" spans="1:82">
      <c r="A24" s="794" t="s">
        <v>223</v>
      </c>
      <c r="B24" s="764" t="s">
        <v>36</v>
      </c>
      <c r="C24" s="627">
        <v>703038</v>
      </c>
      <c r="D24" s="175">
        <v>90145</v>
      </c>
      <c r="E24" s="175">
        <v>11560</v>
      </c>
      <c r="F24" s="175">
        <v>171222</v>
      </c>
      <c r="G24" s="765">
        <f t="shared" si="0"/>
        <v>1.7682508660975351E-3</v>
      </c>
      <c r="H24" s="766">
        <f t="shared" si="1"/>
        <v>1.7682508660975351E-3</v>
      </c>
      <c r="J24" s="767">
        <v>12.121389319430746</v>
      </c>
      <c r="K24" s="768">
        <v>6.5520235467255334</v>
      </c>
      <c r="L24" s="768">
        <v>6.5625580805947452</v>
      </c>
      <c r="M24" s="768">
        <v>7.7980103806228378</v>
      </c>
      <c r="N24" s="769">
        <f t="shared" si="2"/>
        <v>0.9411305771415881</v>
      </c>
      <c r="O24" s="770">
        <f t="shared" si="3"/>
        <v>1.6641549581414862E-3</v>
      </c>
      <c r="P24" s="771">
        <f t="shared" si="4"/>
        <v>1.5759567431205719E-3</v>
      </c>
      <c r="Q24" s="767">
        <v>0.79351997048242784</v>
      </c>
      <c r="R24" s="768">
        <v>0.47317713453679738</v>
      </c>
      <c r="S24" s="768">
        <v>0.44629120011030743</v>
      </c>
      <c r="T24" s="768">
        <v>0.52648024202497345</v>
      </c>
      <c r="U24" s="769">
        <f t="shared" si="5"/>
        <v>0.95968549774921197</v>
      </c>
      <c r="V24" s="770">
        <f t="shared" si="6"/>
        <v>1.6969647125762881E-3</v>
      </c>
      <c r="W24" s="771">
        <f t="shared" si="7"/>
        <v>1.6135262080570342E-3</v>
      </c>
      <c r="X24" s="767">
        <v>47.958362688459914</v>
      </c>
      <c r="Y24" s="768">
        <v>45.519278881530539</v>
      </c>
      <c r="Z24" s="768">
        <v>51.194390470558417</v>
      </c>
      <c r="AA24" s="768">
        <v>60.816435986159171</v>
      </c>
      <c r="AB24" s="769">
        <f t="shared" si="8"/>
        <v>1.0585987264876684</v>
      </c>
      <c r="AC24" s="770">
        <f t="shared" si="9"/>
        <v>1.6703693494554128E-3</v>
      </c>
      <c r="AD24" s="771">
        <f t="shared" si="10"/>
        <v>1.7816210029749449E-3</v>
      </c>
      <c r="AE24" s="767">
        <v>3.1395673830827415</v>
      </c>
      <c r="AF24" s="768">
        <v>3.2873328054671349</v>
      </c>
      <c r="AG24" s="768">
        <v>3.4815091434513583</v>
      </c>
      <c r="AH24" s="768">
        <v>4.1060027332936189</v>
      </c>
      <c r="AI24" s="769">
        <f t="shared" si="11"/>
        <v>1.0643484033760391</v>
      </c>
      <c r="AJ24" s="770">
        <f t="shared" si="12"/>
        <v>1.6613459093740043E-3</v>
      </c>
      <c r="AK24" s="771">
        <f t="shared" si="13"/>
        <v>1.7674579745925794E-3</v>
      </c>
      <c r="AL24" s="767">
        <v>3.95650708220237</v>
      </c>
      <c r="AM24" s="768">
        <v>6.9473619190943596</v>
      </c>
      <c r="AN24" s="768">
        <v>7.8009809348489334</v>
      </c>
      <c r="AO24" s="768">
        <v>7.7989683288035945</v>
      </c>
      <c r="AP24" s="772">
        <f t="shared" si="14"/>
        <v>1.1555135455372394</v>
      </c>
      <c r="AQ24" s="770">
        <f t="shared" si="15"/>
        <v>1.5302727284563439E-3</v>
      </c>
      <c r="AR24" s="771">
        <f t="shared" si="16"/>
        <v>1.6619387526851691E-3</v>
      </c>
      <c r="AT24" s="773">
        <f t="shared" si="30"/>
        <v>3.1519134862411442E-4</v>
      </c>
      <c r="AU24" s="774">
        <f t="shared" si="17"/>
        <v>3.2270524161140683E-4</v>
      </c>
      <c r="AV24" s="774">
        <f t="shared" si="18"/>
        <v>3.5632420059498901E-4</v>
      </c>
      <c r="AW24" s="774">
        <f t="shared" si="19"/>
        <v>3.5349159491851592E-4</v>
      </c>
      <c r="AX24" s="775">
        <f t="shared" si="20"/>
        <v>3.3238775053703385E-4</v>
      </c>
      <c r="AY24" s="776">
        <f t="shared" si="31"/>
        <v>-4.9851936454028446E-2</v>
      </c>
      <c r="AZ24" s="777">
        <f t="shared" si="21"/>
        <v>40556.99809823386</v>
      </c>
      <c r="BA24" s="778">
        <f t="shared" si="21"/>
        <v>41523.842349912142</v>
      </c>
      <c r="BB24" s="778">
        <f t="shared" si="21"/>
        <v>45849.735371765943</v>
      </c>
      <c r="BC24" s="778">
        <f t="shared" si="21"/>
        <v>45485.252071271643</v>
      </c>
      <c r="BD24" s="778">
        <f t="shared" si="21"/>
        <v>42769.731546417657</v>
      </c>
      <c r="BE24" s="779">
        <f t="shared" si="22"/>
        <v>216185.55943760125</v>
      </c>
      <c r="BG24" s="780">
        <v>703038</v>
      </c>
      <c r="BH24" s="781">
        <f t="shared" si="23"/>
        <v>0.30750195499759791</v>
      </c>
      <c r="BI24" s="782">
        <f t="shared" si="24"/>
        <v>210911.4</v>
      </c>
      <c r="BJ24" s="783">
        <f t="shared" si="25"/>
        <v>5274.1594376012508</v>
      </c>
      <c r="BL24" s="784">
        <f t="shared" si="26"/>
        <v>0</v>
      </c>
      <c r="BM24" s="781">
        <f t="shared" si="27"/>
        <v>0</v>
      </c>
      <c r="BN24" s="785">
        <f t="shared" si="28"/>
        <v>0</v>
      </c>
      <c r="BO24" s="783">
        <f t="shared" si="41"/>
        <v>210911</v>
      </c>
      <c r="BQ24" s="786">
        <f t="shared" si="29"/>
        <v>0</v>
      </c>
      <c r="BR24" s="548"/>
      <c r="BS24" s="780">
        <f t="shared" si="32"/>
        <v>703038</v>
      </c>
      <c r="BT24" s="787">
        <f t="shared" si="33"/>
        <v>0.29999943104071186</v>
      </c>
      <c r="BU24" s="782">
        <f t="shared" si="34"/>
        <v>210911</v>
      </c>
      <c r="BV24" s="788">
        <f t="shared" si="35"/>
        <v>0</v>
      </c>
      <c r="BX24" s="789">
        <f t="shared" si="36"/>
        <v>0</v>
      </c>
      <c r="BY24" s="790">
        <f t="shared" si="37"/>
        <v>0</v>
      </c>
      <c r="BZ24" s="791">
        <f t="shared" si="38"/>
        <v>0</v>
      </c>
      <c r="CA24" s="792">
        <f t="shared" si="39"/>
        <v>210911</v>
      </c>
      <c r="CC24" s="793">
        <f t="shared" si="40"/>
        <v>0.29999943104071186</v>
      </c>
      <c r="CD24" s="672"/>
    </row>
    <row r="25" spans="1:82">
      <c r="A25" s="794" t="s">
        <v>223</v>
      </c>
      <c r="B25" s="764" t="s">
        <v>38</v>
      </c>
      <c r="C25" s="627">
        <v>8312589</v>
      </c>
      <c r="D25" s="175">
        <v>519342</v>
      </c>
      <c r="E25" s="175">
        <v>79599</v>
      </c>
      <c r="F25" s="175">
        <v>1150861</v>
      </c>
      <c r="G25" s="765">
        <f t="shared" si="0"/>
        <v>1.4792741885211761E-2</v>
      </c>
      <c r="H25" s="766">
        <f t="shared" si="1"/>
        <v>1.4792741885211761E-2</v>
      </c>
      <c r="J25" s="767">
        <v>21.272344057919085</v>
      </c>
      <c r="K25" s="768">
        <v>6.2106387495687709</v>
      </c>
      <c r="L25" s="768">
        <v>5.9993407953505891</v>
      </c>
      <c r="M25" s="768">
        <v>6.5244789507405869</v>
      </c>
      <c r="N25" s="769">
        <f t="shared" si="2"/>
        <v>0.74254458405060142</v>
      </c>
      <c r="O25" s="770">
        <f t="shared" si="3"/>
        <v>1.0984270370122477E-2</v>
      </c>
      <c r="P25" s="771">
        <f t="shared" si="4"/>
        <v>1.0402117226743413E-2</v>
      </c>
      <c r="Q25" s="767">
        <v>1.6130997617774709</v>
      </c>
      <c r="R25" s="768">
        <v>0.43710720015539234</v>
      </c>
      <c r="S25" s="768">
        <v>0.41539215330115964</v>
      </c>
      <c r="T25" s="768">
        <v>0.45126387982562621</v>
      </c>
      <c r="U25" s="769">
        <f t="shared" si="5"/>
        <v>0.72761827424943293</v>
      </c>
      <c r="V25" s="770">
        <f t="shared" si="6"/>
        <v>1.0763469321935086E-2</v>
      </c>
      <c r="W25" s="771">
        <f t="shared" si="7"/>
        <v>1.023423746637241E-2</v>
      </c>
      <c r="X25" s="767">
        <v>85.260382965718563</v>
      </c>
      <c r="Y25" s="768">
        <v>88.890998593530242</v>
      </c>
      <c r="Z25" s="768">
        <v>103.53699617930367</v>
      </c>
      <c r="AA25" s="768">
        <v>108.98527619693715</v>
      </c>
      <c r="AB25" s="769">
        <f t="shared" si="8"/>
        <v>1.0489833242149993</v>
      </c>
      <c r="AC25" s="770">
        <f t="shared" si="9"/>
        <v>1.4101980025546952E-2</v>
      </c>
      <c r="AD25" s="771">
        <f t="shared" si="10"/>
        <v>1.5041214570441473E-2</v>
      </c>
      <c r="AE25" s="767">
        <v>6.465366631744411</v>
      </c>
      <c r="AF25" s="768">
        <v>6.2561834749980854</v>
      </c>
      <c r="AG25" s="768">
        <v>7.168863589577354</v>
      </c>
      <c r="AH25" s="768">
        <v>7.537938117635405</v>
      </c>
      <c r="AI25" s="769">
        <f t="shared" si="11"/>
        <v>1.026827470444114</v>
      </c>
      <c r="AJ25" s="770">
        <f t="shared" si="12"/>
        <v>1.4406258413415586E-2</v>
      </c>
      <c r="AK25" s="771">
        <f t="shared" si="13"/>
        <v>1.5326402631241966E-2</v>
      </c>
      <c r="AL25" s="767">
        <v>4.008038922912144</v>
      </c>
      <c r="AM25" s="768">
        <v>14.312698287225656</v>
      </c>
      <c r="AN25" s="768">
        <v>17.258062129016487</v>
      </c>
      <c r="AO25" s="768">
        <v>16.704058212122263</v>
      </c>
      <c r="AP25" s="769">
        <f t="shared" si="14"/>
        <v>1.4319841470376262</v>
      </c>
      <c r="AQ25" s="770">
        <f t="shared" si="15"/>
        <v>1.0330241375795813E-2</v>
      </c>
      <c r="AR25" s="771">
        <f t="shared" si="16"/>
        <v>1.1219064515607748E-2</v>
      </c>
      <c r="AT25" s="773">
        <f t="shared" si="30"/>
        <v>2.0804234453486825E-3</v>
      </c>
      <c r="AU25" s="774">
        <f t="shared" si="17"/>
        <v>2.0468474932744821E-3</v>
      </c>
      <c r="AV25" s="774">
        <f t="shared" si="18"/>
        <v>3.0082429140882946E-3</v>
      </c>
      <c r="AW25" s="774">
        <f t="shared" si="19"/>
        <v>3.0652805262483935E-3</v>
      </c>
      <c r="AX25" s="775">
        <f t="shared" si="20"/>
        <v>2.2438129031215497E-3</v>
      </c>
      <c r="AY25" s="776">
        <f t="shared" si="31"/>
        <v>-0.158735589477011</v>
      </c>
      <c r="AZ25" s="777">
        <f t="shared" si="21"/>
        <v>267696.84537614335</v>
      </c>
      <c r="BA25" s="778">
        <f t="shared" si="21"/>
        <v>263376.48623442178</v>
      </c>
      <c r="BB25" s="778">
        <f t="shared" si="21"/>
        <v>387083.28346665209</v>
      </c>
      <c r="BC25" s="778">
        <f t="shared" si="21"/>
        <v>394422.55320867681</v>
      </c>
      <c r="BD25" s="778">
        <f t="shared" si="21"/>
        <v>288720.85494078486</v>
      </c>
      <c r="BE25" s="779">
        <f t="shared" si="22"/>
        <v>1601300.0232266788</v>
      </c>
      <c r="BG25" s="780">
        <v>8675119</v>
      </c>
      <c r="BH25" s="781">
        <f t="shared" si="23"/>
        <v>0.18458536686663074</v>
      </c>
      <c r="BI25" s="782">
        <f t="shared" si="24"/>
        <v>1601300.0232266788</v>
      </c>
      <c r="BJ25" s="783">
        <f t="shared" si="25"/>
        <v>0</v>
      </c>
      <c r="BL25" s="784">
        <f t="shared" si="26"/>
        <v>1601300.0232266788</v>
      </c>
      <c r="BM25" s="781">
        <f t="shared" si="27"/>
        <v>1.8831734330217852E-2</v>
      </c>
      <c r="BN25" s="785">
        <f t="shared" si="28"/>
        <v>51004.673181104736</v>
      </c>
      <c r="BO25" s="783">
        <f t="shared" si="41"/>
        <v>1652305</v>
      </c>
      <c r="BQ25" s="786">
        <f t="shared" si="29"/>
        <v>0</v>
      </c>
      <c r="BR25" s="548"/>
      <c r="BS25" s="780">
        <f t="shared" si="32"/>
        <v>8675119</v>
      </c>
      <c r="BT25" s="787">
        <f t="shared" si="33"/>
        <v>0.19046482244220511</v>
      </c>
      <c r="BU25" s="782">
        <f t="shared" si="34"/>
        <v>1652305</v>
      </c>
      <c r="BV25" s="788">
        <f t="shared" si="35"/>
        <v>0</v>
      </c>
      <c r="BX25" s="789">
        <f t="shared" si="36"/>
        <v>1652305</v>
      </c>
      <c r="BY25" s="790">
        <f t="shared" si="37"/>
        <v>1.8831738035143909E-2</v>
      </c>
      <c r="BZ25" s="791">
        <f t="shared" si="38"/>
        <v>1.694856406326066E-2</v>
      </c>
      <c r="CA25" s="792">
        <f t="shared" si="39"/>
        <v>1652305</v>
      </c>
      <c r="CC25" s="793">
        <f t="shared" si="40"/>
        <v>0.19046482244220511</v>
      </c>
      <c r="CD25" s="672"/>
    </row>
    <row r="26" spans="1:82">
      <c r="A26" s="794" t="s">
        <v>223</v>
      </c>
      <c r="B26" s="764" t="s">
        <v>54</v>
      </c>
      <c r="C26" s="627">
        <v>177126</v>
      </c>
      <c r="D26" s="175">
        <v>14298</v>
      </c>
      <c r="E26" s="175">
        <v>3028</v>
      </c>
      <c r="F26" s="175">
        <v>48742</v>
      </c>
      <c r="G26" s="795">
        <f t="shared" si="0"/>
        <v>4.0361401222426143E-4</v>
      </c>
      <c r="H26" s="766">
        <f t="shared" si="1"/>
        <v>4.0361401222426143E-4</v>
      </c>
      <c r="J26" s="767">
        <v>5.9558432934926957</v>
      </c>
      <c r="K26" s="768">
        <v>4.686815011624045</v>
      </c>
      <c r="L26" s="768">
        <v>4.8892540256325994</v>
      </c>
      <c r="M26" s="768">
        <v>4.7219286657859971</v>
      </c>
      <c r="N26" s="769">
        <f t="shared" si="2"/>
        <v>1.0497324316835372</v>
      </c>
      <c r="O26" s="770">
        <f t="shared" si="3"/>
        <v>4.2368671851372285E-4</v>
      </c>
      <c r="P26" s="771">
        <f t="shared" si="4"/>
        <v>4.0123183105377641E-4</v>
      </c>
      <c r="Q26" s="767">
        <v>0.37067112984544176</v>
      </c>
      <c r="R26" s="768">
        <v>0.28707433174661295</v>
      </c>
      <c r="S26" s="768">
        <v>0.30552817479875144</v>
      </c>
      <c r="T26" s="768">
        <v>0.29334044561158756</v>
      </c>
      <c r="U26" s="769">
        <f t="shared" si="5"/>
        <v>1.0445386621931119</v>
      </c>
      <c r="V26" s="770">
        <f t="shared" si="6"/>
        <v>4.2159044037112434E-4</v>
      </c>
      <c r="W26" s="771">
        <f t="shared" si="7"/>
        <v>4.0086114906442673E-4</v>
      </c>
      <c r="X26" s="767">
        <v>35.128818061088978</v>
      </c>
      <c r="Y26" s="768">
        <v>38.42344735968117</v>
      </c>
      <c r="Z26" s="768">
        <v>35.43739730529083</v>
      </c>
      <c r="AA26" s="768">
        <v>58.537318361955087</v>
      </c>
      <c r="AB26" s="769">
        <f t="shared" si="8"/>
        <v>1.1968858090440895</v>
      </c>
      <c r="AC26" s="770">
        <f t="shared" si="9"/>
        <v>3.372201501383108E-4</v>
      </c>
      <c r="AD26" s="771">
        <f t="shared" si="10"/>
        <v>3.5968003262790708E-4</v>
      </c>
      <c r="AE26" s="767">
        <v>2.1862963881312507</v>
      </c>
      <c r="AF26" s="768">
        <v>2.3534928190731925</v>
      </c>
      <c r="AG26" s="768">
        <v>2.2144734680466569</v>
      </c>
      <c r="AH26" s="768">
        <v>3.6365147101062738</v>
      </c>
      <c r="AI26" s="769">
        <f t="shared" si="11"/>
        <v>1.1975235749946818</v>
      </c>
      <c r="AJ26" s="770">
        <f t="shared" si="12"/>
        <v>3.3704055657196884E-4</v>
      </c>
      <c r="AK26" s="771">
        <f t="shared" si="13"/>
        <v>3.585677227800859E-4</v>
      </c>
      <c r="AL26" s="767">
        <v>5.8982106025976924</v>
      </c>
      <c r="AM26" s="768">
        <v>8.1982001133786842</v>
      </c>
      <c r="AN26" s="768">
        <v>7.2480172066137918</v>
      </c>
      <c r="AO26" s="768">
        <v>12.396908658553643</v>
      </c>
      <c r="AP26" s="772">
        <f t="shared" si="14"/>
        <v>1.3061052839788061</v>
      </c>
      <c r="AQ26" s="770">
        <f t="shared" si="15"/>
        <v>3.0902103924939847E-4</v>
      </c>
      <c r="AR26" s="771">
        <f t="shared" si="16"/>
        <v>3.3560948383474468E-4</v>
      </c>
      <c r="AT26" s="773">
        <f t="shared" si="30"/>
        <v>8.0246366210755287E-5</v>
      </c>
      <c r="AU26" s="774">
        <f t="shared" si="17"/>
        <v>8.0172229812885347E-5</v>
      </c>
      <c r="AV26" s="774">
        <f t="shared" si="18"/>
        <v>7.1936006525581423E-5</v>
      </c>
      <c r="AW26" s="774">
        <f t="shared" si="19"/>
        <v>7.1713544556017178E-5</v>
      </c>
      <c r="AX26" s="775">
        <f t="shared" si="20"/>
        <v>6.7121896766948944E-5</v>
      </c>
      <c r="AY26" s="776">
        <f t="shared" si="31"/>
        <v>-8.0334099833128184E-2</v>
      </c>
      <c r="AZ26" s="777">
        <f t="shared" si="21"/>
        <v>10325.637857785996</v>
      </c>
      <c r="BA26" s="778">
        <f t="shared" si="21"/>
        <v>10316.098415283699</v>
      </c>
      <c r="BB26" s="778">
        <f t="shared" si="21"/>
        <v>9256.3088821700403</v>
      </c>
      <c r="BC26" s="778">
        <f t="shared" si="21"/>
        <v>9227.683763758856</v>
      </c>
      <c r="BD26" s="778">
        <f t="shared" si="21"/>
        <v>8636.8571073106068</v>
      </c>
      <c r="BE26" s="779">
        <f t="shared" si="22"/>
        <v>47762.586026309196</v>
      </c>
      <c r="BG26" s="780">
        <v>177251</v>
      </c>
      <c r="BH26" s="781">
        <f t="shared" si="23"/>
        <v>0.2694629989467433</v>
      </c>
      <c r="BI26" s="782">
        <f t="shared" si="24"/>
        <v>47762.586026309196</v>
      </c>
      <c r="BJ26" s="783">
        <f t="shared" si="25"/>
        <v>0</v>
      </c>
      <c r="BL26" s="784">
        <f t="shared" si="26"/>
        <v>47762.586026309196</v>
      </c>
      <c r="BM26" s="781">
        <f t="shared" si="27"/>
        <v>5.6170131638367225E-4</v>
      </c>
      <c r="BN26" s="785">
        <f t="shared" si="28"/>
        <v>1521.3358241558246</v>
      </c>
      <c r="BO26" s="783">
        <f t="shared" si="41"/>
        <v>49284</v>
      </c>
      <c r="BQ26" s="786">
        <f t="shared" si="29"/>
        <v>0</v>
      </c>
      <c r="BR26" s="548"/>
      <c r="BS26" s="780">
        <f t="shared" si="32"/>
        <v>177251</v>
      </c>
      <c r="BT26" s="787">
        <f t="shared" si="33"/>
        <v>0.27804638619810323</v>
      </c>
      <c r="BU26" s="782">
        <f t="shared" si="34"/>
        <v>49284</v>
      </c>
      <c r="BV26" s="788">
        <f t="shared" si="35"/>
        <v>0</v>
      </c>
      <c r="BX26" s="789">
        <f t="shared" si="36"/>
        <v>49284</v>
      </c>
      <c r="BY26" s="790">
        <f t="shared" si="37"/>
        <v>5.6170221437569479E-4</v>
      </c>
      <c r="BZ26" s="791">
        <f t="shared" si="38"/>
        <v>5.0553198791611614E-4</v>
      </c>
      <c r="CA26" s="792">
        <f t="shared" si="39"/>
        <v>49284</v>
      </c>
      <c r="CC26" s="793">
        <f t="shared" si="40"/>
        <v>0.27804638619810323</v>
      </c>
      <c r="CD26" s="672"/>
    </row>
    <row r="27" spans="1:82">
      <c r="A27" s="794" t="s">
        <v>224</v>
      </c>
      <c r="B27" s="764" t="s">
        <v>366</v>
      </c>
      <c r="C27" s="627">
        <v>18874570</v>
      </c>
      <c r="D27" s="175">
        <v>527426</v>
      </c>
      <c r="E27" s="175">
        <v>118492</v>
      </c>
      <c r="F27" s="175">
        <v>2591443</v>
      </c>
      <c r="G27" s="795">
        <f t="shared" si="0"/>
        <v>2.8035624369989059E-2</v>
      </c>
      <c r="H27" s="766">
        <f t="shared" si="1"/>
        <v>2.8035624369989059E-2</v>
      </c>
      <c r="J27" s="767">
        <v>9.5977192221126977</v>
      </c>
      <c r="K27" s="768">
        <v>3.470492023892092</v>
      </c>
      <c r="L27" s="768">
        <v>4.2679119210326499</v>
      </c>
      <c r="M27" s="768">
        <v>4.451152820443574</v>
      </c>
      <c r="N27" s="769">
        <f t="shared" si="2"/>
        <v>0.84354045251780463</v>
      </c>
      <c r="O27" s="770">
        <f t="shared" si="3"/>
        <v>2.3649183267679761E-2</v>
      </c>
      <c r="P27" s="771">
        <f t="shared" si="4"/>
        <v>2.2395804944520932E-2</v>
      </c>
      <c r="Q27" s="767">
        <v>0.37124438856652447</v>
      </c>
      <c r="R27" s="768">
        <v>0.16305901321605187</v>
      </c>
      <c r="S27" s="768">
        <v>0.18749795684455406</v>
      </c>
      <c r="T27" s="768">
        <v>0.20352598918826306</v>
      </c>
      <c r="U27" s="769">
        <f t="shared" si="5"/>
        <v>0.88782342910654022</v>
      </c>
      <c r="V27" s="770">
        <f t="shared" si="6"/>
        <v>2.4890684165306574E-2</v>
      </c>
      <c r="W27" s="771">
        <f t="shared" si="7"/>
        <v>2.3666827565447614E-2</v>
      </c>
      <c r="X27" s="767">
        <v>112.24563612250527</v>
      </c>
      <c r="Y27" s="768">
        <v>179.69728056645377</v>
      </c>
      <c r="Z27" s="768">
        <v>158.41301948873704</v>
      </c>
      <c r="AA27" s="768">
        <v>159.2898254734497</v>
      </c>
      <c r="AB27" s="769">
        <f t="shared" si="8"/>
        <v>1.0903539930795201</v>
      </c>
      <c r="AC27" s="770">
        <f t="shared" si="9"/>
        <v>2.5712405831437541E-2</v>
      </c>
      <c r="AD27" s="771">
        <f t="shared" si="10"/>
        <v>2.7424929870294757E-2</v>
      </c>
      <c r="AE27" s="767">
        <v>4.3417151082679135</v>
      </c>
      <c r="AF27" s="768">
        <v>8.4429703468712045</v>
      </c>
      <c r="AG27" s="768">
        <v>6.9594026402794391</v>
      </c>
      <c r="AH27" s="768">
        <v>7.2834208585718461</v>
      </c>
      <c r="AI27" s="769">
        <f t="shared" si="11"/>
        <v>1.1782619786185278</v>
      </c>
      <c r="AJ27" s="770">
        <f t="shared" si="12"/>
        <v>2.3794049947075332E-2</v>
      </c>
      <c r="AK27" s="771">
        <f t="shared" si="13"/>
        <v>2.5313803157741406E-2</v>
      </c>
      <c r="AL27" s="767">
        <v>11.695032280575219</v>
      </c>
      <c r="AM27" s="768">
        <v>51.778617939287642</v>
      </c>
      <c r="AN27" s="768">
        <v>37.117218541475417</v>
      </c>
      <c r="AO27" s="768">
        <v>35.786195599003463</v>
      </c>
      <c r="AP27" s="769">
        <f t="shared" si="14"/>
        <v>1.3409477845398807</v>
      </c>
      <c r="AQ27" s="770">
        <f t="shared" si="15"/>
        <v>2.0907319951767488E-2</v>
      </c>
      <c r="AR27" s="771">
        <f t="shared" si="16"/>
        <v>2.2706204323252092E-2</v>
      </c>
      <c r="AT27" s="773">
        <f t="shared" si="30"/>
        <v>4.4791609889041862E-3</v>
      </c>
      <c r="AU27" s="774">
        <f t="shared" si="17"/>
        <v>4.7333655130895229E-3</v>
      </c>
      <c r="AV27" s="774">
        <f t="shared" si="18"/>
        <v>5.4849859740589519E-3</v>
      </c>
      <c r="AW27" s="774">
        <f t="shared" si="19"/>
        <v>5.0627606315482819E-3</v>
      </c>
      <c r="AX27" s="775">
        <f t="shared" si="20"/>
        <v>4.5412408646504183E-3</v>
      </c>
      <c r="AY27" s="776">
        <f t="shared" si="31"/>
        <v>-0.13319162607039714</v>
      </c>
      <c r="AZ27" s="777">
        <f t="shared" si="21"/>
        <v>576352.50618922594</v>
      </c>
      <c r="BA27" s="778">
        <f t="shared" si="21"/>
        <v>609062.07277140452</v>
      </c>
      <c r="BB27" s="778">
        <f t="shared" si="21"/>
        <v>705776.24255810212</v>
      </c>
      <c r="BC27" s="778">
        <f t="shared" si="21"/>
        <v>651446.72974633693</v>
      </c>
      <c r="BD27" s="778">
        <f t="shared" si="21"/>
        <v>584340.58521985041</v>
      </c>
      <c r="BE27" s="779">
        <f t="shared" si="22"/>
        <v>3126978.13648492</v>
      </c>
      <c r="BG27" s="780">
        <v>18874570</v>
      </c>
      <c r="BH27" s="781">
        <f t="shared" si="23"/>
        <v>0.16567149007818033</v>
      </c>
      <c r="BI27" s="782">
        <f t="shared" si="24"/>
        <v>3126978.13648492</v>
      </c>
      <c r="BJ27" s="783">
        <f t="shared" si="25"/>
        <v>0</v>
      </c>
      <c r="BL27" s="784">
        <f t="shared" si="26"/>
        <v>3126978.13648492</v>
      </c>
      <c r="BM27" s="781">
        <f t="shared" si="27"/>
        <v>3.6774133934017808E-2</v>
      </c>
      <c r="BN27" s="785">
        <f t="shared" si="28"/>
        <v>99600.63422374404</v>
      </c>
      <c r="BO27" s="783">
        <f t="shared" si="41"/>
        <v>3226579</v>
      </c>
      <c r="BQ27" s="786">
        <f t="shared" si="29"/>
        <v>0</v>
      </c>
      <c r="BR27" s="548"/>
      <c r="BS27" s="780">
        <f t="shared" si="32"/>
        <v>18874570</v>
      </c>
      <c r="BT27" s="787">
        <f t="shared" si="33"/>
        <v>0.1709484772368324</v>
      </c>
      <c r="BU27" s="782">
        <f t="shared" si="34"/>
        <v>3226579</v>
      </c>
      <c r="BV27" s="788">
        <f t="shared" si="35"/>
        <v>0</v>
      </c>
      <c r="BX27" s="789">
        <f t="shared" si="36"/>
        <v>3226579</v>
      </c>
      <c r="BY27" s="790">
        <f t="shared" si="37"/>
        <v>3.6774137025365534E-2</v>
      </c>
      <c r="BZ27" s="791">
        <f t="shared" si="38"/>
        <v>3.3096722994042573E-2</v>
      </c>
      <c r="CA27" s="792">
        <f t="shared" si="39"/>
        <v>3226579</v>
      </c>
      <c r="CC27" s="793">
        <f t="shared" si="40"/>
        <v>0.1709484772368324</v>
      </c>
      <c r="CD27" s="672"/>
    </row>
    <row r="28" spans="1:82">
      <c r="A28" s="794" t="s">
        <v>224</v>
      </c>
      <c r="B28" s="764" t="s">
        <v>46</v>
      </c>
      <c r="C28" s="627">
        <v>23750125</v>
      </c>
      <c r="D28" s="175">
        <v>2106063</v>
      </c>
      <c r="E28" s="175">
        <v>216250</v>
      </c>
      <c r="F28" s="175">
        <v>2205880</v>
      </c>
      <c r="G28" s="795">
        <f t="shared" si="0"/>
        <v>4.4250136567682952E-2</v>
      </c>
      <c r="H28" s="766">
        <f t="shared" si="1"/>
        <v>4.4250136567682952E-2</v>
      </c>
      <c r="J28" s="767">
        <v>12.903471027599291</v>
      </c>
      <c r="K28" s="768">
        <v>7.8216167510040826</v>
      </c>
      <c r="L28" s="768">
        <v>8.8817225863249529</v>
      </c>
      <c r="M28" s="768">
        <v>9.7390196531791915</v>
      </c>
      <c r="N28" s="769">
        <f t="shared" si="2"/>
        <v>0.99278724982653765</v>
      </c>
      <c r="O28" s="770">
        <f t="shared" si="3"/>
        <v>4.3930971387478666E-2</v>
      </c>
      <c r="P28" s="771">
        <f t="shared" si="4"/>
        <v>4.1602682641557052E-2</v>
      </c>
      <c r="Q28" s="767">
        <v>1.2587048387152435</v>
      </c>
      <c r="R28" s="768">
        <v>0.78433143162528551</v>
      </c>
      <c r="S28" s="768">
        <v>0.87157122671755427</v>
      </c>
      <c r="T28" s="768">
        <v>0.95474957839955032</v>
      </c>
      <c r="U28" s="769">
        <f t="shared" si="5"/>
        <v>0.99791433128261009</v>
      </c>
      <c r="V28" s="770">
        <f t="shared" si="6"/>
        <v>4.4157845442103501E-2</v>
      </c>
      <c r="W28" s="771">
        <f t="shared" si="7"/>
        <v>4.1986636719154979E-2</v>
      </c>
      <c r="X28" s="767">
        <v>70.784446046283321</v>
      </c>
      <c r="Y28" s="768">
        <v>115.12446224595757</v>
      </c>
      <c r="Z28" s="768">
        <v>128.33355179497212</v>
      </c>
      <c r="AA28" s="768">
        <v>109.8271676300578</v>
      </c>
      <c r="AB28" s="769">
        <f t="shared" si="8"/>
        <v>1.1212511733586463</v>
      </c>
      <c r="AC28" s="770">
        <f t="shared" si="9"/>
        <v>3.9464963443591405E-2</v>
      </c>
      <c r="AD28" s="771">
        <f t="shared" si="10"/>
        <v>4.209344943719448E-2</v>
      </c>
      <c r="AE28" s="767">
        <v>6.9048649432129956</v>
      </c>
      <c r="AF28" s="768">
        <v>11.544382339734495</v>
      </c>
      <c r="AG28" s="768">
        <v>12.593483986899244</v>
      </c>
      <c r="AH28" s="768">
        <v>10.766734817850473</v>
      </c>
      <c r="AI28" s="769">
        <f t="shared" si="11"/>
        <v>1.1272229978943926</v>
      </c>
      <c r="AJ28" s="770">
        <f t="shared" si="12"/>
        <v>3.9255885171204312E-2</v>
      </c>
      <c r="AK28" s="771">
        <f t="shared" si="13"/>
        <v>4.1763203499070957E-2</v>
      </c>
      <c r="AL28" s="767">
        <v>5.485690315023156</v>
      </c>
      <c r="AM28" s="768">
        <v>14.718755202519828</v>
      </c>
      <c r="AN28" s="768">
        <v>14.449173631313958</v>
      </c>
      <c r="AO28" s="768">
        <v>11.277024951295379</v>
      </c>
      <c r="AP28" s="769">
        <f t="shared" si="14"/>
        <v>1.1311670338589401</v>
      </c>
      <c r="AQ28" s="770">
        <f t="shared" si="15"/>
        <v>3.9119011819788475E-2</v>
      </c>
      <c r="AR28" s="771">
        <f t="shared" si="16"/>
        <v>4.2484846329083864E-2</v>
      </c>
      <c r="AT28" s="773">
        <f t="shared" si="30"/>
        <v>8.3205365283114101E-3</v>
      </c>
      <c r="AU28" s="774">
        <f t="shared" si="17"/>
        <v>8.3973273438309962E-3</v>
      </c>
      <c r="AV28" s="774">
        <f t="shared" si="18"/>
        <v>8.4186898874388967E-3</v>
      </c>
      <c r="AW28" s="774">
        <f t="shared" si="19"/>
        <v>8.3526406998141924E-3</v>
      </c>
      <c r="AX28" s="775">
        <f t="shared" si="20"/>
        <v>8.4969692658167732E-3</v>
      </c>
      <c r="AY28" s="776">
        <f t="shared" si="31"/>
        <v>-5.1163070175112769E-2</v>
      </c>
      <c r="AZ28" s="777">
        <f t="shared" si="21"/>
        <v>1070638.4728771499</v>
      </c>
      <c r="BA28" s="778">
        <f t="shared" si="21"/>
        <v>1080519.4704761792</v>
      </c>
      <c r="BB28" s="778">
        <f t="shared" si="21"/>
        <v>1083268.2789198789</v>
      </c>
      <c r="BC28" s="778">
        <f t="shared" si="21"/>
        <v>1074769.451815079</v>
      </c>
      <c r="BD28" s="778">
        <f t="shared" si="21"/>
        <v>1093340.8161702226</v>
      </c>
      <c r="BE28" s="779">
        <f t="shared" si="22"/>
        <v>5402536.4902585093</v>
      </c>
      <c r="BG28" s="780">
        <v>23750125</v>
      </c>
      <c r="BH28" s="781">
        <f t="shared" si="23"/>
        <v>0.22747402341076139</v>
      </c>
      <c r="BI28" s="782">
        <f t="shared" si="24"/>
        <v>5402536.4902585093</v>
      </c>
      <c r="BJ28" s="783">
        <f t="shared" si="25"/>
        <v>0</v>
      </c>
      <c r="BL28" s="784">
        <f t="shared" si="26"/>
        <v>5402536.4902585093</v>
      </c>
      <c r="BM28" s="781">
        <f t="shared" si="27"/>
        <v>6.3535334052420553E-2</v>
      </c>
      <c r="BN28" s="785">
        <f t="shared" si="28"/>
        <v>172081.81105210699</v>
      </c>
      <c r="BO28" s="783">
        <f t="shared" si="41"/>
        <v>5574618</v>
      </c>
      <c r="BQ28" s="786">
        <f t="shared" si="29"/>
        <v>0</v>
      </c>
      <c r="BR28" s="548"/>
      <c r="BS28" s="780">
        <f t="shared" si="32"/>
        <v>23750125</v>
      </c>
      <c r="BT28" s="787">
        <f t="shared" si="33"/>
        <v>0.2347195225288288</v>
      </c>
      <c r="BU28" s="782">
        <f t="shared" si="34"/>
        <v>5574618</v>
      </c>
      <c r="BV28" s="788">
        <f t="shared" si="35"/>
        <v>0</v>
      </c>
      <c r="BX28" s="789">
        <f t="shared" si="36"/>
        <v>5574618</v>
      </c>
      <c r="BY28" s="790">
        <f t="shared" si="37"/>
        <v>6.3535331444253856E-2</v>
      </c>
      <c r="BZ28" s="791">
        <f t="shared" si="38"/>
        <v>5.7181797731778339E-2</v>
      </c>
      <c r="CA28" s="792">
        <f t="shared" si="39"/>
        <v>5574618</v>
      </c>
      <c r="CC28" s="793">
        <f t="shared" si="40"/>
        <v>0.2347195225288288</v>
      </c>
      <c r="CD28" s="672"/>
    </row>
    <row r="29" spans="1:82">
      <c r="A29" s="794" t="s">
        <v>224</v>
      </c>
      <c r="B29" s="764" t="s">
        <v>47</v>
      </c>
      <c r="C29" s="627">
        <v>31898625</v>
      </c>
      <c r="D29" s="175">
        <v>4580046</v>
      </c>
      <c r="E29" s="175">
        <v>310607</v>
      </c>
      <c r="F29" s="175">
        <v>3036654</v>
      </c>
      <c r="G29" s="795">
        <f t="shared" si="0"/>
        <v>7.1094974419105866E-2</v>
      </c>
      <c r="H29" s="766">
        <f t="shared" si="1"/>
        <v>7.1094974419105866E-2</v>
      </c>
      <c r="J29" s="767">
        <v>15.892603773584906</v>
      </c>
      <c r="K29" s="768">
        <v>7.2218469159098948</v>
      </c>
      <c r="L29" s="768">
        <v>11.021126607734487</v>
      </c>
      <c r="M29" s="768">
        <v>14.745469355165852</v>
      </c>
      <c r="N29" s="769">
        <f t="shared" si="2"/>
        <v>1.0626677883283782</v>
      </c>
      <c r="O29" s="770">
        <f t="shared" si="3"/>
        <v>7.5550339227213853E-2</v>
      </c>
      <c r="P29" s="771">
        <f t="shared" si="4"/>
        <v>7.1546261943745942E-2</v>
      </c>
      <c r="Q29" s="767">
        <v>1.6926824335930128</v>
      </c>
      <c r="R29" s="768">
        <v>0.80452628182287345</v>
      </c>
      <c r="S29" s="768">
        <v>1.2173072182855937</v>
      </c>
      <c r="T29" s="768">
        <v>1.5082541507857004</v>
      </c>
      <c r="U29" s="769">
        <f t="shared" si="5"/>
        <v>1.0498988916910428</v>
      </c>
      <c r="V29" s="770">
        <f t="shared" si="6"/>
        <v>7.4642534847422282E-2</v>
      </c>
      <c r="W29" s="771">
        <f t="shared" si="7"/>
        <v>7.0972416408872127E-2</v>
      </c>
      <c r="X29" s="767">
        <v>83.128810327706063</v>
      </c>
      <c r="Y29" s="768">
        <v>113.69054841372804</v>
      </c>
      <c r="Z29" s="768">
        <v>98.632543150219192</v>
      </c>
      <c r="AA29" s="768">
        <v>103.11566062580688</v>
      </c>
      <c r="AB29" s="769">
        <f t="shared" si="8"/>
        <v>1.0363020583866838</v>
      </c>
      <c r="AC29" s="770">
        <f t="shared" si="9"/>
        <v>6.8604490209916796E-2</v>
      </c>
      <c r="AD29" s="771">
        <f t="shared" si="10"/>
        <v>7.3173756867740802E-2</v>
      </c>
      <c r="AE29" s="767">
        <v>8.8538466680374093</v>
      </c>
      <c r="AF29" s="768">
        <v>12.665324432756394</v>
      </c>
      <c r="AG29" s="768">
        <v>10.894177247756708</v>
      </c>
      <c r="AH29" s="768">
        <v>10.547281975490128</v>
      </c>
      <c r="AI29" s="769">
        <f t="shared" si="11"/>
        <v>1.0241555778199913</v>
      </c>
      <c r="AJ29" s="770">
        <f t="shared" si="12"/>
        <v>6.941813915658987E-2</v>
      </c>
      <c r="AK29" s="771">
        <f t="shared" si="13"/>
        <v>7.3851955177668668E-2</v>
      </c>
      <c r="AL29" s="767">
        <v>5.2306602185523836</v>
      </c>
      <c r="AM29" s="768">
        <v>15.742586313102974</v>
      </c>
      <c r="AN29" s="768">
        <v>8.9494065952386492</v>
      </c>
      <c r="AO29" s="768">
        <v>6.9930402445739626</v>
      </c>
      <c r="AP29" s="769">
        <f t="shared" si="14"/>
        <v>1.0002872892817887</v>
      </c>
      <c r="AQ29" s="770">
        <f t="shared" si="15"/>
        <v>7.1074555461113992E-2</v>
      </c>
      <c r="AR29" s="771">
        <f t="shared" si="16"/>
        <v>7.7189873317451904E-2</v>
      </c>
      <c r="AT29" s="773">
        <f t="shared" si="30"/>
        <v>1.4309252388749189E-2</v>
      </c>
      <c r="AU29" s="774">
        <f t="shared" si="17"/>
        <v>1.4194483281774426E-2</v>
      </c>
      <c r="AV29" s="774">
        <f t="shared" si="18"/>
        <v>1.4634751373548161E-2</v>
      </c>
      <c r="AW29" s="774">
        <f t="shared" si="19"/>
        <v>1.4770391035533735E-2</v>
      </c>
      <c r="AX29" s="775">
        <f t="shared" si="20"/>
        <v>1.5437974663490381E-2</v>
      </c>
      <c r="AY29" s="776">
        <f t="shared" si="31"/>
        <v>3.1674226517266521E-2</v>
      </c>
      <c r="AZ29" s="777">
        <f t="shared" si="21"/>
        <v>1841231.7611221671</v>
      </c>
      <c r="BA29" s="778">
        <f t="shared" si="21"/>
        <v>1826463.936835015</v>
      </c>
      <c r="BB29" s="778">
        <f t="shared" si="21"/>
        <v>1883115.0861724759</v>
      </c>
      <c r="BC29" s="778">
        <f t="shared" si="21"/>
        <v>1900568.4126587764</v>
      </c>
      <c r="BD29" s="778">
        <f t="shared" si="21"/>
        <v>1986469.2092626153</v>
      </c>
      <c r="BE29" s="779">
        <f t="shared" si="22"/>
        <v>9437848.4060510509</v>
      </c>
      <c r="BG29" s="780">
        <v>32028446</v>
      </c>
      <c r="BH29" s="781">
        <f t="shared" si="23"/>
        <v>0.29467081874815443</v>
      </c>
      <c r="BI29" s="782">
        <f t="shared" si="24"/>
        <v>9437848.4060510509</v>
      </c>
      <c r="BJ29" s="783">
        <f t="shared" si="25"/>
        <v>0</v>
      </c>
      <c r="BL29" s="784">
        <f t="shared" si="26"/>
        <v>0</v>
      </c>
      <c r="BM29" s="781">
        <f t="shared" si="27"/>
        <v>0</v>
      </c>
      <c r="BN29" s="785">
        <f t="shared" si="28"/>
        <v>0</v>
      </c>
      <c r="BO29" s="783">
        <f t="shared" si="41"/>
        <v>9437848</v>
      </c>
      <c r="BQ29" s="786">
        <f t="shared" si="29"/>
        <v>0</v>
      </c>
      <c r="BR29" s="548"/>
      <c r="BS29" s="780">
        <f t="shared" si="32"/>
        <v>32028446</v>
      </c>
      <c r="BT29" s="787">
        <f t="shared" si="33"/>
        <v>0.29467080607032886</v>
      </c>
      <c r="BU29" s="782">
        <f t="shared" si="34"/>
        <v>9437848</v>
      </c>
      <c r="BV29" s="788">
        <f t="shared" si="35"/>
        <v>0</v>
      </c>
      <c r="BX29" s="789">
        <f t="shared" si="36"/>
        <v>0</v>
      </c>
      <c r="BY29" s="790">
        <f t="shared" si="37"/>
        <v>0</v>
      </c>
      <c r="BZ29" s="791">
        <f t="shared" si="38"/>
        <v>0</v>
      </c>
      <c r="CA29" s="792">
        <f t="shared" si="39"/>
        <v>9437848</v>
      </c>
      <c r="CC29" s="793">
        <f t="shared" si="40"/>
        <v>0.29467080607032886</v>
      </c>
      <c r="CD29" s="672"/>
    </row>
    <row r="30" spans="1:82">
      <c r="A30" s="794" t="s">
        <v>224</v>
      </c>
      <c r="B30" s="764" t="s">
        <v>48</v>
      </c>
      <c r="C30" s="627">
        <v>5328325</v>
      </c>
      <c r="D30" s="175">
        <v>847511</v>
      </c>
      <c r="E30" s="175">
        <v>34638</v>
      </c>
      <c r="F30" s="175">
        <v>439291</v>
      </c>
      <c r="G30" s="795">
        <f t="shared" si="0"/>
        <v>1.1906072905672711E-2</v>
      </c>
      <c r="H30" s="766">
        <f t="shared" si="1"/>
        <v>1.1906072905672711E-2</v>
      </c>
      <c r="J30" s="767">
        <v>17.559390774078722</v>
      </c>
      <c r="K30" s="768">
        <v>9.5356184364060681</v>
      </c>
      <c r="L30" s="768">
        <v>13.465131541402728</v>
      </c>
      <c r="M30" s="768">
        <v>24.467665569605636</v>
      </c>
      <c r="N30" s="769">
        <f t="shared" si="2"/>
        <v>1.2242812771624043</v>
      </c>
      <c r="O30" s="770">
        <f t="shared" si="3"/>
        <v>1.4576382142945684E-2</v>
      </c>
      <c r="P30" s="771">
        <f t="shared" si="4"/>
        <v>1.3803851387813182E-2</v>
      </c>
      <c r="Q30" s="767">
        <v>1.3807895890071515</v>
      </c>
      <c r="R30" s="768">
        <v>0.74451206457520036</v>
      </c>
      <c r="S30" s="768">
        <v>1.0865963144527517</v>
      </c>
      <c r="T30" s="768">
        <v>1.9292701193514095</v>
      </c>
      <c r="U30" s="769">
        <f t="shared" si="5"/>
        <v>1.2259407232504442</v>
      </c>
      <c r="V30" s="770">
        <f t="shared" si="6"/>
        <v>1.459613962905292E-2</v>
      </c>
      <c r="W30" s="771">
        <f t="shared" si="7"/>
        <v>1.3878458198569055E-2</v>
      </c>
      <c r="X30" s="767">
        <v>115.9866367111137</v>
      </c>
      <c r="Y30" s="768">
        <v>133.20037922987166</v>
      </c>
      <c r="Z30" s="768">
        <v>152.54685270786965</v>
      </c>
      <c r="AA30" s="768">
        <v>153.82888734915412</v>
      </c>
      <c r="AB30" s="769">
        <f t="shared" si="8"/>
        <v>1.0555488667259996</v>
      </c>
      <c r="AC30" s="770">
        <f t="shared" si="9"/>
        <v>1.1279508965417989E-2</v>
      </c>
      <c r="AD30" s="771">
        <f t="shared" si="10"/>
        <v>1.2030758396389804E-2</v>
      </c>
      <c r="AE30" s="767">
        <v>9.1206547251673182</v>
      </c>
      <c r="AF30" s="768">
        <v>10.399880196968939</v>
      </c>
      <c r="AG30" s="768">
        <v>12.310080107577638</v>
      </c>
      <c r="AH30" s="768">
        <v>12.129374378259513</v>
      </c>
      <c r="AI30" s="769">
        <f t="shared" si="11"/>
        <v>1.0624696456281881</v>
      </c>
      <c r="AJ30" s="770">
        <f t="shared" si="12"/>
        <v>1.1206035819153415E-2</v>
      </c>
      <c r="AK30" s="771">
        <f t="shared" si="13"/>
        <v>1.1921778156119079E-2</v>
      </c>
      <c r="AL30" s="767">
        <v>6.6053907110680559</v>
      </c>
      <c r="AM30" s="768">
        <v>13.968719503427852</v>
      </c>
      <c r="AN30" s="768">
        <v>11.329028033541075</v>
      </c>
      <c r="AO30" s="768">
        <v>6.2870275430053413</v>
      </c>
      <c r="AP30" s="772">
        <f t="shared" si="14"/>
        <v>0.88176517012639621</v>
      </c>
      <c r="AQ30" s="770">
        <f t="shared" si="15"/>
        <v>1.3502543884746592E-2</v>
      </c>
      <c r="AR30" s="771">
        <f t="shared" si="16"/>
        <v>1.4664314748998481E-2</v>
      </c>
      <c r="AT30" s="773">
        <f t="shared" si="30"/>
        <v>2.7607702775626366E-3</v>
      </c>
      <c r="AU30" s="774">
        <f t="shared" si="17"/>
        <v>2.7756916397138113E-3</v>
      </c>
      <c r="AV30" s="774">
        <f t="shared" si="18"/>
        <v>2.4061516792779607E-3</v>
      </c>
      <c r="AW30" s="774">
        <f t="shared" si="19"/>
        <v>2.3843556312238157E-3</v>
      </c>
      <c r="AX30" s="775">
        <f t="shared" si="20"/>
        <v>2.9328629497996964E-3</v>
      </c>
      <c r="AY30" s="776">
        <f t="shared" si="31"/>
        <v>0.1137032573738234</v>
      </c>
      <c r="AZ30" s="777">
        <f t="shared" si="21"/>
        <v>355239.93721762329</v>
      </c>
      <c r="BA30" s="778">
        <f t="shared" si="21"/>
        <v>357159.93171947094</v>
      </c>
      <c r="BB30" s="778">
        <f t="shared" si="21"/>
        <v>309609.66887741664</v>
      </c>
      <c r="BC30" s="778">
        <f t="shared" si="21"/>
        <v>306805.07959113148</v>
      </c>
      <c r="BD30" s="778">
        <f t="shared" si="21"/>
        <v>377383.82603660855</v>
      </c>
      <c r="BE30" s="779">
        <f t="shared" si="22"/>
        <v>1706198.4434422508</v>
      </c>
      <c r="BG30" s="780">
        <v>5328325</v>
      </c>
      <c r="BH30" s="781">
        <f t="shared" si="23"/>
        <v>0.32021290807941538</v>
      </c>
      <c r="BI30" s="782">
        <f t="shared" si="24"/>
        <v>1598497.5</v>
      </c>
      <c r="BJ30" s="783">
        <f t="shared" si="25"/>
        <v>107700.94344225083</v>
      </c>
      <c r="BL30" s="784">
        <f t="shared" si="26"/>
        <v>0</v>
      </c>
      <c r="BM30" s="781">
        <f t="shared" si="27"/>
        <v>0</v>
      </c>
      <c r="BN30" s="785">
        <f t="shared" si="28"/>
        <v>0</v>
      </c>
      <c r="BO30" s="783">
        <f t="shared" si="41"/>
        <v>1598498</v>
      </c>
      <c r="BQ30" s="786">
        <f t="shared" si="29"/>
        <v>1</v>
      </c>
      <c r="BR30" s="548"/>
      <c r="BS30" s="780">
        <f t="shared" si="32"/>
        <v>5328325</v>
      </c>
      <c r="BT30" s="787">
        <f t="shared" si="33"/>
        <v>0.30000009383811987</v>
      </c>
      <c r="BU30" s="782">
        <f t="shared" si="34"/>
        <v>1598497.5</v>
      </c>
      <c r="BV30" s="788">
        <f t="shared" si="35"/>
        <v>0.5</v>
      </c>
      <c r="BX30" s="789">
        <f t="shared" si="36"/>
        <v>0</v>
      </c>
      <c r="BY30" s="790">
        <f t="shared" si="37"/>
        <v>0</v>
      </c>
      <c r="BZ30" s="791">
        <f t="shared" si="38"/>
        <v>0</v>
      </c>
      <c r="CA30" s="792">
        <f t="shared" si="39"/>
        <v>1598498</v>
      </c>
      <c r="CC30" s="793">
        <f t="shared" si="40"/>
        <v>0.30000009383811987</v>
      </c>
      <c r="CD30" s="672"/>
    </row>
    <row r="31" spans="1:82">
      <c r="A31" s="794" t="s">
        <v>224</v>
      </c>
      <c r="B31" s="764" t="s">
        <v>49</v>
      </c>
      <c r="C31" s="627">
        <v>108069575</v>
      </c>
      <c r="D31" s="175">
        <v>8365287</v>
      </c>
      <c r="E31" s="175">
        <v>848788</v>
      </c>
      <c r="F31" s="175">
        <v>11068404</v>
      </c>
      <c r="G31" s="795">
        <f t="shared" si="0"/>
        <v>0.19224370492323181</v>
      </c>
      <c r="H31" s="766">
        <f t="shared" si="1"/>
        <v>0.19224370492323181</v>
      </c>
      <c r="J31" s="767">
        <v>10.935817531005453</v>
      </c>
      <c r="K31" s="768">
        <v>5.8735316212753474</v>
      </c>
      <c r="L31" s="768">
        <v>6.1587343955565519</v>
      </c>
      <c r="M31" s="768">
        <v>9.8555669967058908</v>
      </c>
      <c r="N31" s="769">
        <f t="shared" si="2"/>
        <v>1.0659076257589852</v>
      </c>
      <c r="O31" s="770">
        <f t="shared" si="3"/>
        <v>0.20491403108183295</v>
      </c>
      <c r="P31" s="771">
        <f t="shared" si="4"/>
        <v>0.19405383342671695</v>
      </c>
      <c r="Q31" s="767">
        <v>0.82322383518472986</v>
      </c>
      <c r="R31" s="768">
        <v>0.454872375587629</v>
      </c>
      <c r="S31" s="768">
        <v>0.47446458788106716</v>
      </c>
      <c r="T31" s="768">
        <v>0.7557807792342961</v>
      </c>
      <c r="U31" s="769">
        <f t="shared" si="5"/>
        <v>1.0732650953909619</v>
      </c>
      <c r="V31" s="770">
        <f t="shared" si="6"/>
        <v>0.20632845830274432</v>
      </c>
      <c r="W31" s="771">
        <f t="shared" si="7"/>
        <v>0.19618344003986735</v>
      </c>
      <c r="X31" s="767">
        <v>111.12397982480542</v>
      </c>
      <c r="Y31" s="768">
        <v>123.96447205256577</v>
      </c>
      <c r="Z31" s="768">
        <v>123.17011468072208</v>
      </c>
      <c r="AA31" s="768">
        <v>127.77476943594867</v>
      </c>
      <c r="AB31" s="769">
        <f t="shared" si="8"/>
        <v>1.0065131598163113</v>
      </c>
      <c r="AC31" s="770">
        <f t="shared" si="9"/>
        <v>0.19099969339528189</v>
      </c>
      <c r="AD31" s="771">
        <f t="shared" si="10"/>
        <v>0.20372085097571555</v>
      </c>
      <c r="AE31" s="767">
        <v>8.3651641583266318</v>
      </c>
      <c r="AF31" s="768">
        <v>9.6003592943580749</v>
      </c>
      <c r="AG31" s="768">
        <v>9.4889394391510358</v>
      </c>
      <c r="AH31" s="768">
        <v>9.7984940737616739</v>
      </c>
      <c r="AI31" s="769">
        <f t="shared" si="11"/>
        <v>1.0148352621303056</v>
      </c>
      <c r="AJ31" s="770">
        <f t="shared" si="12"/>
        <v>0.18943341062043975</v>
      </c>
      <c r="AK31" s="771">
        <f t="shared" si="13"/>
        <v>0.20153273942903646</v>
      </c>
      <c r="AL31" s="767">
        <v>10.161469822420175</v>
      </c>
      <c r="AM31" s="768">
        <v>21.10561073742015</v>
      </c>
      <c r="AN31" s="768">
        <v>19.999257439903197</v>
      </c>
      <c r="AO31" s="768">
        <v>12.964730439015423</v>
      </c>
      <c r="AP31" s="769">
        <f t="shared" si="14"/>
        <v>0.97494497637420541</v>
      </c>
      <c r="AQ31" s="770">
        <f t="shared" si="15"/>
        <v>0.19718415867752975</v>
      </c>
      <c r="AR31" s="771">
        <f t="shared" si="16"/>
        <v>0.21415005876265097</v>
      </c>
      <c r="AT31" s="773">
        <f t="shared" si="30"/>
        <v>3.881076668534339E-2</v>
      </c>
      <c r="AU31" s="774">
        <f t="shared" si="17"/>
        <v>3.9236688007973475E-2</v>
      </c>
      <c r="AV31" s="774">
        <f t="shared" si="18"/>
        <v>4.0744170195143113E-2</v>
      </c>
      <c r="AW31" s="774">
        <f t="shared" si="19"/>
        <v>4.0306547885807294E-2</v>
      </c>
      <c r="AX31" s="775">
        <f t="shared" si="20"/>
        <v>4.2830011752530199E-2</v>
      </c>
      <c r="AY31" s="776">
        <f t="shared" si="31"/>
        <v>5.0376055785196938E-2</v>
      </c>
      <c r="AZ31" s="777">
        <f t="shared" si="21"/>
        <v>4993944.7815416455</v>
      </c>
      <c r="BA31" s="778">
        <f t="shared" si="21"/>
        <v>5048749.8716791486</v>
      </c>
      <c r="BB31" s="778">
        <f t="shared" si="21"/>
        <v>5242723.9527097559</v>
      </c>
      <c r="BC31" s="778">
        <f t="shared" si="21"/>
        <v>5186413.2473399714</v>
      </c>
      <c r="BD31" s="778">
        <f t="shared" si="21"/>
        <v>5511117.9693775503</v>
      </c>
      <c r="BE31" s="779">
        <f t="shared" si="22"/>
        <v>25982949.822648074</v>
      </c>
      <c r="BG31" s="780">
        <v>108453691</v>
      </c>
      <c r="BH31" s="781">
        <f t="shared" si="23"/>
        <v>0.23957644579056395</v>
      </c>
      <c r="BI31" s="782">
        <f t="shared" si="24"/>
        <v>25982949.822648074</v>
      </c>
      <c r="BJ31" s="783">
        <f t="shared" si="25"/>
        <v>0</v>
      </c>
      <c r="BL31" s="784">
        <f t="shared" si="26"/>
        <v>25982949.822648074</v>
      </c>
      <c r="BM31" s="781">
        <f t="shared" si="27"/>
        <v>0.3055667277076059</v>
      </c>
      <c r="BN31" s="785">
        <f t="shared" si="28"/>
        <v>827609.96987608646</v>
      </c>
      <c r="BO31" s="783">
        <f>ROUND((BN31+BI31),0)</f>
        <v>26810560</v>
      </c>
      <c r="BQ31" s="786">
        <f t="shared" si="29"/>
        <v>0</v>
      </c>
      <c r="BR31" s="548"/>
      <c r="BS31" s="780">
        <f t="shared" si="32"/>
        <v>108453691</v>
      </c>
      <c r="BT31" s="787">
        <f t="shared" si="33"/>
        <v>0.24720744635606731</v>
      </c>
      <c r="BU31" s="782">
        <f t="shared" si="34"/>
        <v>26810560</v>
      </c>
      <c r="BV31" s="788">
        <f t="shared" si="35"/>
        <v>0</v>
      </c>
      <c r="BX31" s="789">
        <f t="shared" si="36"/>
        <v>26810560</v>
      </c>
      <c r="BY31" s="790">
        <f t="shared" si="37"/>
        <v>0.30556673404456675</v>
      </c>
      <c r="BZ31" s="791">
        <f t="shared" si="38"/>
        <v>0.2750100579081306</v>
      </c>
      <c r="CA31" s="792">
        <f t="shared" si="39"/>
        <v>26810560</v>
      </c>
      <c r="CC31" s="793">
        <f t="shared" si="40"/>
        <v>0.24720744635606731</v>
      </c>
      <c r="CD31" s="672"/>
    </row>
    <row r="32" spans="1:82">
      <c r="A32" s="794" t="s">
        <v>224</v>
      </c>
      <c r="B32" s="764" t="s">
        <v>367</v>
      </c>
      <c r="C32" s="627"/>
      <c r="D32" s="175">
        <v>0</v>
      </c>
      <c r="E32" s="175">
        <v>0</v>
      </c>
      <c r="F32" s="175">
        <v>0</v>
      </c>
      <c r="G32" s="825">
        <f>$C$2</f>
        <v>0</v>
      </c>
      <c r="H32" s="826">
        <f>$C$2</f>
        <v>0</v>
      </c>
      <c r="J32" s="767">
        <v>0</v>
      </c>
      <c r="K32" s="768">
        <v>0</v>
      </c>
      <c r="L32" s="768">
        <v>0</v>
      </c>
      <c r="M32" s="768">
        <v>0</v>
      </c>
      <c r="N32" s="769">
        <f t="shared" si="2"/>
        <v>1</v>
      </c>
      <c r="O32" s="770">
        <f t="shared" si="3"/>
        <v>0</v>
      </c>
      <c r="P32" s="771">
        <f t="shared" si="4"/>
        <v>0</v>
      </c>
      <c r="Q32" s="767">
        <v>0</v>
      </c>
      <c r="R32" s="768">
        <v>0</v>
      </c>
      <c r="S32" s="768">
        <v>0</v>
      </c>
      <c r="T32" s="768">
        <v>0</v>
      </c>
      <c r="U32" s="769">
        <f t="shared" si="5"/>
        <v>1</v>
      </c>
      <c r="V32" s="770">
        <f t="shared" si="6"/>
        <v>0</v>
      </c>
      <c r="W32" s="771">
        <f t="shared" si="7"/>
        <v>0</v>
      </c>
      <c r="X32" s="767">
        <v>0</v>
      </c>
      <c r="Y32" s="768">
        <v>0</v>
      </c>
      <c r="Z32" s="768">
        <v>0</v>
      </c>
      <c r="AA32" s="768">
        <v>0</v>
      </c>
      <c r="AB32" s="769">
        <f t="shared" si="8"/>
        <v>1</v>
      </c>
      <c r="AC32" s="770">
        <f t="shared" si="9"/>
        <v>0</v>
      </c>
      <c r="AD32" s="771">
        <f t="shared" si="10"/>
        <v>0</v>
      </c>
      <c r="AE32" s="767">
        <v>0</v>
      </c>
      <c r="AF32" s="768">
        <v>0</v>
      </c>
      <c r="AG32" s="768">
        <v>0</v>
      </c>
      <c r="AH32" s="768">
        <v>0</v>
      </c>
      <c r="AI32" s="769">
        <f t="shared" si="11"/>
        <v>1</v>
      </c>
      <c r="AJ32" s="770">
        <f t="shared" si="12"/>
        <v>0</v>
      </c>
      <c r="AK32" s="771">
        <f t="shared" si="13"/>
        <v>0</v>
      </c>
      <c r="AL32" s="767">
        <v>0</v>
      </c>
      <c r="AM32" s="768">
        <v>0</v>
      </c>
      <c r="AN32" s="768">
        <v>0</v>
      </c>
      <c r="AO32" s="768">
        <v>0</v>
      </c>
      <c r="AP32" s="769">
        <f t="shared" si="14"/>
        <v>1</v>
      </c>
      <c r="AQ32" s="770">
        <f t="shared" si="15"/>
        <v>0</v>
      </c>
      <c r="AR32" s="771">
        <f t="shared" si="16"/>
        <v>0</v>
      </c>
      <c r="AT32" s="773">
        <f t="shared" si="30"/>
        <v>0</v>
      </c>
      <c r="AU32" s="774">
        <f t="shared" si="17"/>
        <v>0</v>
      </c>
      <c r="AV32" s="774">
        <f t="shared" si="18"/>
        <v>0</v>
      </c>
      <c r="AW32" s="774">
        <f t="shared" si="19"/>
        <v>0</v>
      </c>
      <c r="AX32" s="775">
        <f t="shared" si="20"/>
        <v>0</v>
      </c>
      <c r="AY32" s="776" t="e">
        <f t="shared" si="31"/>
        <v>#DIV/0!</v>
      </c>
      <c r="AZ32" s="777">
        <f t="shared" si="21"/>
        <v>0</v>
      </c>
      <c r="BA32" s="778">
        <f t="shared" si="21"/>
        <v>0</v>
      </c>
      <c r="BB32" s="778">
        <f t="shared" si="21"/>
        <v>0</v>
      </c>
      <c r="BC32" s="778">
        <f t="shared" si="21"/>
        <v>0</v>
      </c>
      <c r="BD32" s="778">
        <f t="shared" si="21"/>
        <v>0</v>
      </c>
      <c r="BE32" s="779">
        <f t="shared" si="22"/>
        <v>0</v>
      </c>
      <c r="BG32" s="780">
        <v>0</v>
      </c>
      <c r="BH32" s="781">
        <v>0</v>
      </c>
      <c r="BI32" s="782">
        <f t="shared" si="24"/>
        <v>0</v>
      </c>
      <c r="BJ32" s="783">
        <f t="shared" si="25"/>
        <v>0</v>
      </c>
      <c r="BL32" s="784">
        <f t="shared" si="26"/>
        <v>0</v>
      </c>
      <c r="BM32" s="781">
        <f t="shared" si="27"/>
        <v>0</v>
      </c>
      <c r="BN32" s="785">
        <f t="shared" si="28"/>
        <v>0</v>
      </c>
      <c r="BO32" s="783">
        <f>ROUND((BN32+BI32),0)</f>
        <v>0</v>
      </c>
      <c r="BQ32" s="786">
        <f t="shared" si="29"/>
        <v>0</v>
      </c>
      <c r="BR32" s="548"/>
      <c r="BS32" s="780">
        <f t="shared" si="32"/>
        <v>0</v>
      </c>
      <c r="BT32" s="787">
        <v>0</v>
      </c>
      <c r="BU32" s="782">
        <f t="shared" si="34"/>
        <v>0</v>
      </c>
      <c r="BV32" s="788">
        <f t="shared" si="35"/>
        <v>0</v>
      </c>
      <c r="BX32" s="789">
        <f t="shared" si="36"/>
        <v>0</v>
      </c>
      <c r="BY32" s="790">
        <f t="shared" si="37"/>
        <v>0</v>
      </c>
      <c r="BZ32" s="791">
        <f t="shared" si="38"/>
        <v>0</v>
      </c>
      <c r="CA32" s="792">
        <f t="shared" si="39"/>
        <v>0</v>
      </c>
      <c r="CC32" s="793" t="e">
        <f t="shared" si="40"/>
        <v>#DIV/0!</v>
      </c>
      <c r="CD32" s="672"/>
    </row>
    <row r="33" spans="1:82">
      <c r="A33" s="794" t="s">
        <v>224</v>
      </c>
      <c r="B33" s="764" t="s">
        <v>50</v>
      </c>
      <c r="C33" s="627">
        <v>41578430</v>
      </c>
      <c r="D33" s="175">
        <v>1572283</v>
      </c>
      <c r="E33" s="175">
        <v>207877</v>
      </c>
      <c r="F33" s="175">
        <v>5086977</v>
      </c>
      <c r="G33" s="795">
        <f t="shared" ref="G33:G48" si="42">IFERROR($C$7*(C33/C$49),0) + IFERROR($D$7*(D33/D$49),0) + IFERROR($E$7*(E33/E$49),0) + IFERROR($F$7*(F33/F$49),0)</f>
        <v>6.2192676350043108E-2</v>
      </c>
      <c r="H33" s="766">
        <f t="shared" ref="H33:H48" si="43">G33/(SUM($G$9:$G$48)-$G$32)*(1-$G$32)</f>
        <v>6.2192676350043108E-2</v>
      </c>
      <c r="J33" s="767">
        <v>10.619348493496171</v>
      </c>
      <c r="K33" s="768">
        <v>3.1822121529637459</v>
      </c>
      <c r="L33" s="768">
        <v>5.6143685300207036</v>
      </c>
      <c r="M33" s="768">
        <v>7.5635255463567397</v>
      </c>
      <c r="N33" s="769">
        <f t="shared" si="2"/>
        <v>1.0264635833767835</v>
      </c>
      <c r="O33" s="770">
        <f t="shared" si="3"/>
        <v>6.3838517426057784E-2</v>
      </c>
      <c r="P33" s="771">
        <f t="shared" si="4"/>
        <v>6.0455152638413334E-2</v>
      </c>
      <c r="Q33" s="767">
        <v>0.5403360203480656</v>
      </c>
      <c r="R33" s="768">
        <v>0.14309026388335411</v>
      </c>
      <c r="S33" s="768">
        <v>0.23387194455837201</v>
      </c>
      <c r="T33" s="768">
        <v>0.3090800292590275</v>
      </c>
      <c r="U33" s="769">
        <f t="shared" si="5"/>
        <v>0.97050521546232849</v>
      </c>
      <c r="V33" s="770">
        <f t="shared" si="6"/>
        <v>6.0358316761277446E-2</v>
      </c>
      <c r="W33" s="771">
        <f t="shared" si="7"/>
        <v>5.7390542800783852E-2</v>
      </c>
      <c r="X33" s="767">
        <v>147.42823097382487</v>
      </c>
      <c r="Y33" s="768">
        <v>162.67460550900779</v>
      </c>
      <c r="Z33" s="768">
        <v>182.82648723257418</v>
      </c>
      <c r="AA33" s="768">
        <v>219.6294299032601</v>
      </c>
      <c r="AB33" s="769">
        <f t="shared" si="8"/>
        <v>1.1052316025815632</v>
      </c>
      <c r="AC33" s="770">
        <f t="shared" si="9"/>
        <v>5.6271170861180157E-2</v>
      </c>
      <c r="AD33" s="771">
        <f t="shared" si="10"/>
        <v>6.0019001127478704E-2</v>
      </c>
      <c r="AE33" s="767">
        <v>7.5014755999523217</v>
      </c>
      <c r="AF33" s="768">
        <v>7.31477070368339</v>
      </c>
      <c r="AG33" s="768">
        <v>7.6158139347686928</v>
      </c>
      <c r="AH33" s="768">
        <v>8.9750566987033746</v>
      </c>
      <c r="AI33" s="769">
        <f t="shared" si="11"/>
        <v>1.0385690261414711</v>
      </c>
      <c r="AJ33" s="770">
        <f t="shared" si="12"/>
        <v>5.9883045598907926E-2</v>
      </c>
      <c r="AK33" s="771">
        <f t="shared" si="13"/>
        <v>6.3707844278234449E-2</v>
      </c>
      <c r="AL33" s="767">
        <v>13.882982657939651</v>
      </c>
      <c r="AM33" s="768">
        <v>51.119974938660576</v>
      </c>
      <c r="AN33" s="768">
        <v>32.564033916722593</v>
      </c>
      <c r="AO33" s="768">
        <v>29.037970263623023</v>
      </c>
      <c r="AP33" s="769">
        <f t="shared" si="14"/>
        <v>1.17121247832242</v>
      </c>
      <c r="AQ33" s="770">
        <f t="shared" si="15"/>
        <v>5.3101104625459986E-2</v>
      </c>
      <c r="AR33" s="771">
        <f t="shared" si="16"/>
        <v>5.7669970813937356E-2</v>
      </c>
      <c r="AT33" s="773">
        <f t="shared" si="30"/>
        <v>1.2091030527682668E-2</v>
      </c>
      <c r="AU33" s="774">
        <f t="shared" si="17"/>
        <v>1.1478108560156771E-2</v>
      </c>
      <c r="AV33" s="774">
        <f t="shared" si="18"/>
        <v>1.2003800225495742E-2</v>
      </c>
      <c r="AW33" s="774">
        <f t="shared" si="19"/>
        <v>1.274156885564689E-2</v>
      </c>
      <c r="AX33" s="775">
        <f t="shared" si="20"/>
        <v>1.1533994162787472E-2</v>
      </c>
      <c r="AY33" s="776">
        <f t="shared" si="31"/>
        <v>-3.7692123186333061E-2</v>
      </c>
      <c r="AZ33" s="777">
        <f t="shared" si="21"/>
        <v>1555803.8133264808</v>
      </c>
      <c r="BA33" s="778">
        <f t="shared" si="21"/>
        <v>1476936.5627505186</v>
      </c>
      <c r="BB33" s="778">
        <f t="shared" si="21"/>
        <v>1544579.5230172868</v>
      </c>
      <c r="BC33" s="778">
        <f t="shared" si="21"/>
        <v>1639511.3194025364</v>
      </c>
      <c r="BD33" s="778">
        <f t="shared" si="21"/>
        <v>1484127.5985752835</v>
      </c>
      <c r="BE33" s="779">
        <f t="shared" si="22"/>
        <v>7700958.8170721056</v>
      </c>
      <c r="BG33" s="780">
        <v>45655907</v>
      </c>
      <c r="BH33" s="781">
        <f t="shared" si="23"/>
        <v>0.16867387646185861</v>
      </c>
      <c r="BI33" s="782">
        <f t="shared" si="24"/>
        <v>7700958.8170721056</v>
      </c>
      <c r="BJ33" s="783">
        <f t="shared" si="25"/>
        <v>0</v>
      </c>
      <c r="BL33" s="784">
        <f t="shared" si="26"/>
        <v>7700958.8170721056</v>
      </c>
      <c r="BM33" s="781">
        <f t="shared" si="27"/>
        <v>9.0565420862746951E-2</v>
      </c>
      <c r="BN33" s="785">
        <f t="shared" si="28"/>
        <v>245291.25207556895</v>
      </c>
      <c r="BO33" s="783">
        <f t="shared" si="41"/>
        <v>7946250</v>
      </c>
      <c r="BQ33" s="786">
        <f t="shared" si="29"/>
        <v>0</v>
      </c>
      <c r="BR33" s="548"/>
      <c r="BS33" s="780">
        <f t="shared" si="32"/>
        <v>45655907</v>
      </c>
      <c r="BT33" s="787">
        <f t="shared" si="33"/>
        <v>0.17404648209047735</v>
      </c>
      <c r="BU33" s="782">
        <f t="shared" si="34"/>
        <v>7946250</v>
      </c>
      <c r="BV33" s="788">
        <f t="shared" si="35"/>
        <v>0</v>
      </c>
      <c r="BX33" s="789">
        <f t="shared" si="36"/>
        <v>7946250</v>
      </c>
      <c r="BY33" s="790">
        <f t="shared" si="37"/>
        <v>9.0565421251985731E-2</v>
      </c>
      <c r="BZ33" s="791">
        <f t="shared" si="38"/>
        <v>8.1508878317069197E-2</v>
      </c>
      <c r="CA33" s="792">
        <f t="shared" si="39"/>
        <v>7946250</v>
      </c>
      <c r="CC33" s="793">
        <f t="shared" si="40"/>
        <v>0.17404648209047735</v>
      </c>
      <c r="CD33" s="672"/>
    </row>
    <row r="34" spans="1:82">
      <c r="A34" s="794" t="s">
        <v>225</v>
      </c>
      <c r="B34" s="764" t="s">
        <v>29</v>
      </c>
      <c r="C34" s="627">
        <v>4660277</v>
      </c>
      <c r="D34" s="175">
        <v>475942</v>
      </c>
      <c r="E34" s="175">
        <v>43849</v>
      </c>
      <c r="F34" s="175">
        <v>553318</v>
      </c>
      <c r="G34" s="765">
        <f t="shared" si="42"/>
        <v>9.3016634855829904E-3</v>
      </c>
      <c r="H34" s="766">
        <f t="shared" si="43"/>
        <v>9.3016634855829904E-3</v>
      </c>
      <c r="J34" s="767">
        <v>7.2311072676573369</v>
      </c>
      <c r="K34" s="768">
        <v>7.0651748073074137</v>
      </c>
      <c r="L34" s="768">
        <v>8.5454680032144825</v>
      </c>
      <c r="M34" s="768">
        <v>10.854112978631212</v>
      </c>
      <c r="N34" s="769">
        <f t="shared" si="2"/>
        <v>1.3009855746270713</v>
      </c>
      <c r="O34" s="770">
        <f t="shared" si="3"/>
        <v>1.2101330014778833E-2</v>
      </c>
      <c r="P34" s="771">
        <f t="shared" si="4"/>
        <v>1.1459974051224528E-2</v>
      </c>
      <c r="Q34" s="767">
        <v>0.68740479018609113</v>
      </c>
      <c r="R34" s="768">
        <v>0.60435953803758868</v>
      </c>
      <c r="S34" s="768">
        <v>0.7290038463481342</v>
      </c>
      <c r="T34" s="768">
        <v>0.86015998033680452</v>
      </c>
      <c r="U34" s="769">
        <f t="shared" si="5"/>
        <v>1.2103155382207087</v>
      </c>
      <c r="V34" s="770">
        <f t="shared" si="6"/>
        <v>1.125794784790129E-2</v>
      </c>
      <c r="W34" s="771">
        <f t="shared" si="7"/>
        <v>1.0704402847570349E-2</v>
      </c>
      <c r="X34" s="767">
        <v>63.118368571529423</v>
      </c>
      <c r="Y34" s="768">
        <v>99.128071370778855</v>
      </c>
      <c r="Z34" s="768">
        <v>86.295224802267057</v>
      </c>
      <c r="AA34" s="768">
        <v>108.01972678966453</v>
      </c>
      <c r="AB34" s="769">
        <f t="shared" si="8"/>
        <v>1.1665516654755821</v>
      </c>
      <c r="AC34" s="770">
        <f t="shared" si="9"/>
        <v>7.9736403974794128E-3</v>
      </c>
      <c r="AD34" s="771">
        <f t="shared" si="10"/>
        <v>8.5047089776583637E-3</v>
      </c>
      <c r="AE34" s="767">
        <v>6.0001694483031685</v>
      </c>
      <c r="AF34" s="768">
        <v>8.4794781522232086</v>
      </c>
      <c r="AG34" s="768">
        <v>7.3617443513527165</v>
      </c>
      <c r="AH34" s="768">
        <v>8.5602799836621983</v>
      </c>
      <c r="AI34" s="769">
        <f t="shared" si="11"/>
        <v>1.0918608229846662</v>
      </c>
      <c r="AJ34" s="770">
        <f t="shared" si="12"/>
        <v>8.5190926258864597E-3</v>
      </c>
      <c r="AK34" s="771">
        <f t="shared" si="13"/>
        <v>9.0632168249593463E-3</v>
      </c>
      <c r="AL34" s="767">
        <v>8.7287280129060925</v>
      </c>
      <c r="AM34" s="768">
        <v>14.030519282870687</v>
      </c>
      <c r="AN34" s="768">
        <v>10.098361467131589</v>
      </c>
      <c r="AO34" s="768">
        <v>9.9519626341024754</v>
      </c>
      <c r="AP34" s="772">
        <f t="shared" si="14"/>
        <v>0.95582060414578562</v>
      </c>
      <c r="AQ34" s="770">
        <f t="shared" si="15"/>
        <v>9.7315996801469497E-3</v>
      </c>
      <c r="AR34" s="771">
        <f t="shared" si="16"/>
        <v>1.0568915156953481E-2</v>
      </c>
      <c r="AT34" s="773">
        <f t="shared" si="30"/>
        <v>2.2919948102449058E-3</v>
      </c>
      <c r="AU34" s="774">
        <f t="shared" si="17"/>
        <v>2.14088056951407E-3</v>
      </c>
      <c r="AV34" s="774">
        <f t="shared" si="18"/>
        <v>1.7009417955316727E-3</v>
      </c>
      <c r="AW34" s="774">
        <f t="shared" si="19"/>
        <v>1.8126433649918693E-3</v>
      </c>
      <c r="AX34" s="775">
        <f t="shared" si="20"/>
        <v>2.1137830313906962E-3</v>
      </c>
      <c r="AY34" s="776">
        <f t="shared" si="31"/>
        <v>8.1553163825586278E-2</v>
      </c>
      <c r="AZ34" s="777">
        <f t="shared" si="21"/>
        <v>294920.62382435799</v>
      </c>
      <c r="BA34" s="778">
        <f t="shared" si="21"/>
        <v>275476.11812745361</v>
      </c>
      <c r="BB34" s="778">
        <f t="shared" si="21"/>
        <v>218867.34349696132</v>
      </c>
      <c r="BC34" s="778">
        <f t="shared" si="21"/>
        <v>233240.4548147138</v>
      </c>
      <c r="BD34" s="778">
        <f t="shared" si="21"/>
        <v>271989.36378938606</v>
      </c>
      <c r="BE34" s="779">
        <f t="shared" si="22"/>
        <v>1294493.9040528727</v>
      </c>
      <c r="BG34" s="780">
        <v>4736557</v>
      </c>
      <c r="BH34" s="781">
        <f t="shared" si="23"/>
        <v>0.27329849594396788</v>
      </c>
      <c r="BI34" s="782">
        <f t="shared" si="24"/>
        <v>1294493.9040528727</v>
      </c>
      <c r="BJ34" s="783">
        <f t="shared" si="25"/>
        <v>0</v>
      </c>
      <c r="BL34" s="784">
        <f t="shared" si="26"/>
        <v>1294493.9040528727</v>
      </c>
      <c r="BM34" s="781">
        <f t="shared" si="27"/>
        <v>1.5223608905024881E-2</v>
      </c>
      <c r="BN34" s="785">
        <f t="shared" si="28"/>
        <v>41232.272249709844</v>
      </c>
      <c r="BO34" s="783">
        <f t="shared" si="41"/>
        <v>1335726</v>
      </c>
      <c r="BQ34" s="786">
        <f t="shared" si="29"/>
        <v>0</v>
      </c>
      <c r="BR34" s="548"/>
      <c r="BS34" s="780">
        <f t="shared" si="32"/>
        <v>4736557</v>
      </c>
      <c r="BT34" s="787">
        <f t="shared" si="33"/>
        <v>0.28200357348175054</v>
      </c>
      <c r="BU34" s="782">
        <f t="shared" si="34"/>
        <v>1335726</v>
      </c>
      <c r="BV34" s="788">
        <f t="shared" si="35"/>
        <v>0</v>
      </c>
      <c r="BX34" s="789">
        <f t="shared" si="36"/>
        <v>1335726</v>
      </c>
      <c r="BY34" s="790">
        <f t="shared" si="37"/>
        <v>1.5223607093563617E-2</v>
      </c>
      <c r="BZ34" s="791">
        <f t="shared" si="38"/>
        <v>1.3701246248097602E-2</v>
      </c>
      <c r="CA34" s="792">
        <f t="shared" si="39"/>
        <v>1335726</v>
      </c>
      <c r="CC34" s="793">
        <f t="shared" si="40"/>
        <v>0.28200357348175054</v>
      </c>
      <c r="CD34" s="672"/>
    </row>
    <row r="35" spans="1:82">
      <c r="A35" s="794" t="s">
        <v>225</v>
      </c>
      <c r="B35" s="764" t="s">
        <v>39</v>
      </c>
      <c r="C35" s="627">
        <v>67417899</v>
      </c>
      <c r="D35" s="175">
        <v>9625071</v>
      </c>
      <c r="E35" s="175">
        <v>583725</v>
      </c>
      <c r="F35" s="175">
        <v>7022292</v>
      </c>
      <c r="G35" s="795">
        <f t="shared" si="42"/>
        <v>0.14924201444200746</v>
      </c>
      <c r="H35" s="766">
        <f t="shared" si="43"/>
        <v>0.14924201444200746</v>
      </c>
      <c r="J35" s="767">
        <v>15.08483737680125</v>
      </c>
      <c r="K35" s="768">
        <v>12.685908078458269</v>
      </c>
      <c r="L35" s="768">
        <v>14.999735241854868</v>
      </c>
      <c r="M35" s="768">
        <v>16.489050494667865</v>
      </c>
      <c r="N35" s="769">
        <f t="shared" si="2"/>
        <v>1.1580336883020843</v>
      </c>
      <c r="O35" s="770">
        <f t="shared" si="3"/>
        <v>0.17282728043391082</v>
      </c>
      <c r="P35" s="771">
        <f t="shared" si="4"/>
        <v>0.16366764204409812</v>
      </c>
      <c r="Q35" s="767">
        <v>1.1884855709632467</v>
      </c>
      <c r="R35" s="768">
        <v>1.0554722157446399</v>
      </c>
      <c r="S35" s="768">
        <v>1.2009259173704827</v>
      </c>
      <c r="T35" s="768">
        <v>1.3706452252341543</v>
      </c>
      <c r="U35" s="769">
        <f t="shared" si="5"/>
        <v>1.1871164048487881</v>
      </c>
      <c r="V35" s="770">
        <f t="shared" si="6"/>
        <v>0.1771676436367868</v>
      </c>
      <c r="W35" s="771">
        <f t="shared" si="7"/>
        <v>0.16845644114406613</v>
      </c>
      <c r="X35" s="767">
        <v>87.19640419871854</v>
      </c>
      <c r="Y35" s="768">
        <v>106.94058914595765</v>
      </c>
      <c r="Z35" s="768">
        <v>99.059409351732896</v>
      </c>
      <c r="AA35" s="768">
        <v>117.86879438091567</v>
      </c>
      <c r="AB35" s="769">
        <f t="shared" si="8"/>
        <v>1.069009747172706</v>
      </c>
      <c r="AC35" s="770">
        <f t="shared" si="9"/>
        <v>0.13960772091809223</v>
      </c>
      <c r="AD35" s="771">
        <f t="shared" si="10"/>
        <v>0.14890601760995553</v>
      </c>
      <c r="AE35" s="767">
        <v>6.8699228000581352</v>
      </c>
      <c r="AF35" s="768">
        <v>8.897496330640184</v>
      </c>
      <c r="AG35" s="768">
        <v>7.9310074565820816</v>
      </c>
      <c r="AH35" s="768">
        <v>9.7977928004133119</v>
      </c>
      <c r="AI35" s="769">
        <f t="shared" si="11"/>
        <v>1.0939620676553767</v>
      </c>
      <c r="AJ35" s="770">
        <f t="shared" si="12"/>
        <v>0.13642339058599071</v>
      </c>
      <c r="AK35" s="771">
        <f t="shared" si="13"/>
        <v>0.14513690872662549</v>
      </c>
      <c r="AL35" s="767">
        <v>5.7804006778897481</v>
      </c>
      <c r="AM35" s="768">
        <v>8.4298726180707302</v>
      </c>
      <c r="AN35" s="768">
        <v>6.6040771889973175</v>
      </c>
      <c r="AO35" s="768">
        <v>7.148306957943479</v>
      </c>
      <c r="AP35" s="769">
        <f t="shared" si="14"/>
        <v>1.0036922938781936</v>
      </c>
      <c r="AQ35" s="770">
        <f t="shared" si="15"/>
        <v>0.14869299620239909</v>
      </c>
      <c r="AR35" s="771">
        <f t="shared" si="16"/>
        <v>0.16148667361465405</v>
      </c>
      <c r="AT35" s="773">
        <f t="shared" si="30"/>
        <v>3.2733528408819622E-2</v>
      </c>
      <c r="AU35" s="774">
        <f t="shared" si="17"/>
        <v>3.3691288228813225E-2</v>
      </c>
      <c r="AV35" s="774">
        <f t="shared" si="18"/>
        <v>2.9781203521991109E-2</v>
      </c>
      <c r="AW35" s="774">
        <f t="shared" si="19"/>
        <v>2.9027381745325098E-2</v>
      </c>
      <c r="AX35" s="775">
        <f t="shared" si="20"/>
        <v>3.2297334722930809E-2</v>
      </c>
      <c r="AY35" s="776">
        <f t="shared" si="31"/>
        <v>5.553879862090199E-2</v>
      </c>
      <c r="AZ35" s="777">
        <f t="shared" si="21"/>
        <v>4211960.9412509501</v>
      </c>
      <c r="BA35" s="778">
        <f t="shared" si="21"/>
        <v>4335199.9304161295</v>
      </c>
      <c r="BB35" s="778">
        <f t="shared" si="21"/>
        <v>3832072.8658226272</v>
      </c>
      <c r="BC35" s="778">
        <f t="shared" si="21"/>
        <v>3735075.44347551</v>
      </c>
      <c r="BD35" s="778">
        <f t="shared" si="21"/>
        <v>4155834.0628760257</v>
      </c>
      <c r="BE35" s="827">
        <f t="shared" si="22"/>
        <v>20270143.243841246</v>
      </c>
      <c r="BF35" s="672"/>
      <c r="BG35" s="780">
        <v>68802962</v>
      </c>
      <c r="BH35" s="828">
        <f t="shared" si="23"/>
        <v>0.29461149134598663</v>
      </c>
      <c r="BI35" s="829">
        <f>IF(BE35&gt;BG35*$BI$4,BG35*$BI$4,BE35)</f>
        <v>20270143.243841246</v>
      </c>
      <c r="BJ35" s="783">
        <f t="shared" si="25"/>
        <v>0</v>
      </c>
      <c r="BL35" s="784">
        <f t="shared" si="26"/>
        <v>0</v>
      </c>
      <c r="BM35" s="781">
        <f t="shared" si="27"/>
        <v>0</v>
      </c>
      <c r="BN35" s="785">
        <f t="shared" si="28"/>
        <v>0</v>
      </c>
      <c r="BO35" s="783">
        <f>ROUND((BN35+BI35),0)</f>
        <v>20270143</v>
      </c>
      <c r="BQ35" s="786">
        <f t="shared" si="29"/>
        <v>0</v>
      </c>
      <c r="BR35" s="548"/>
      <c r="BS35" s="780">
        <f t="shared" si="32"/>
        <v>68802962</v>
      </c>
      <c r="BT35" s="787">
        <f t="shared" si="33"/>
        <v>0.29461148780193502</v>
      </c>
      <c r="BU35" s="782">
        <f t="shared" si="34"/>
        <v>20270143</v>
      </c>
      <c r="BV35" s="788">
        <f t="shared" si="35"/>
        <v>0</v>
      </c>
      <c r="BX35" s="789">
        <f t="shared" si="36"/>
        <v>0</v>
      </c>
      <c r="BY35" s="790">
        <f t="shared" si="37"/>
        <v>0</v>
      </c>
      <c r="BZ35" s="791">
        <f t="shared" si="38"/>
        <v>0</v>
      </c>
      <c r="CA35" s="792">
        <f t="shared" si="39"/>
        <v>20270143</v>
      </c>
      <c r="CC35" s="793">
        <f t="shared" si="40"/>
        <v>0.29461148780193502</v>
      </c>
      <c r="CD35" s="672"/>
    </row>
    <row r="36" spans="1:82">
      <c r="A36" s="794" t="s">
        <v>226</v>
      </c>
      <c r="B36" s="764" t="s">
        <v>343</v>
      </c>
      <c r="C36" s="627">
        <v>10986817</v>
      </c>
      <c r="D36" s="175">
        <v>3520078</v>
      </c>
      <c r="E36" s="175">
        <v>92885</v>
      </c>
      <c r="F36" s="175">
        <v>970481</v>
      </c>
      <c r="G36" s="795">
        <f t="shared" si="42"/>
        <v>3.6361085875307078E-2</v>
      </c>
      <c r="H36" s="766">
        <f t="shared" si="43"/>
        <v>3.6361085875307078E-2</v>
      </c>
      <c r="J36" s="767">
        <v>41.020012326113751</v>
      </c>
      <c r="K36" s="768">
        <v>7.7359808402431227</v>
      </c>
      <c r="L36" s="768">
        <v>32.633977790205321</v>
      </c>
      <c r="M36" s="768">
        <v>37.897163158744682</v>
      </c>
      <c r="N36" s="769">
        <f t="shared" si="2"/>
        <v>1.5374893226393143</v>
      </c>
      <c r="O36" s="770">
        <f t="shared" si="3"/>
        <v>5.5904781292855817E-2</v>
      </c>
      <c r="P36" s="771">
        <f t="shared" si="4"/>
        <v>5.2941894996094696E-2</v>
      </c>
      <c r="Q36" s="767">
        <v>4.0590237544714967</v>
      </c>
      <c r="R36" s="768">
        <v>0.74890286156611607</v>
      </c>
      <c r="S36" s="768">
        <v>3.1121743743196539</v>
      </c>
      <c r="T36" s="768">
        <v>3.6271477751754029</v>
      </c>
      <c r="U36" s="769">
        <f t="shared" si="5"/>
        <v>1.5439223358228489</v>
      </c>
      <c r="V36" s="770">
        <f t="shared" si="6"/>
        <v>5.6138692637659304E-2</v>
      </c>
      <c r="W36" s="771">
        <f t="shared" si="7"/>
        <v>5.3378394486119654E-2</v>
      </c>
      <c r="X36" s="767">
        <v>80.165865469272759</v>
      </c>
      <c r="Y36" s="768">
        <v>94.638769882541524</v>
      </c>
      <c r="Z36" s="768">
        <v>99.879114404410004</v>
      </c>
      <c r="AA36" s="768">
        <v>129.41512623136137</v>
      </c>
      <c r="AB36" s="769">
        <f t="shared" si="8"/>
        <v>1.1373094562186856</v>
      </c>
      <c r="AC36" s="770">
        <f t="shared" si="9"/>
        <v>3.1971145299538817E-2</v>
      </c>
      <c r="AD36" s="771">
        <f t="shared" si="10"/>
        <v>3.4100520327071823E-2</v>
      </c>
      <c r="AE36" s="767">
        <v>7.9325951842875142</v>
      </c>
      <c r="AF36" s="768">
        <v>9.1617659148578081</v>
      </c>
      <c r="AG36" s="768">
        <v>9.5250791177666656</v>
      </c>
      <c r="AH36" s="768">
        <v>12.386356868398249</v>
      </c>
      <c r="AI36" s="769">
        <f t="shared" si="11"/>
        <v>1.1300370084817091</v>
      </c>
      <c r="AJ36" s="770">
        <f t="shared" si="12"/>
        <v>3.2176898280668671E-2</v>
      </c>
      <c r="AK36" s="771">
        <f t="shared" si="13"/>
        <v>3.423207361148E-2</v>
      </c>
      <c r="AL36" s="767">
        <v>1.9543111014191081</v>
      </c>
      <c r="AM36" s="768">
        <v>12.233583799771571</v>
      </c>
      <c r="AN36" s="768">
        <v>3.0605865777841972</v>
      </c>
      <c r="AO36" s="768">
        <v>3.4149027379506931</v>
      </c>
      <c r="AP36" s="769">
        <f t="shared" si="14"/>
        <v>1.4628694458817215</v>
      </c>
      <c r="AQ36" s="770">
        <f t="shared" si="15"/>
        <v>2.4856002001867643E-2</v>
      </c>
      <c r="AR36" s="771">
        <f t="shared" si="16"/>
        <v>2.6994634482831313E-2</v>
      </c>
      <c r="AT36" s="773">
        <f t="shared" si="30"/>
        <v>1.0588378999218939E-2</v>
      </c>
      <c r="AU36" s="774">
        <f t="shared" si="17"/>
        <v>1.0675678897223932E-2</v>
      </c>
      <c r="AV36" s="774">
        <f t="shared" si="18"/>
        <v>6.8201040654143653E-3</v>
      </c>
      <c r="AW36" s="774">
        <f t="shared" si="19"/>
        <v>6.8464147222960002E-3</v>
      </c>
      <c r="AX36" s="775">
        <f t="shared" si="20"/>
        <v>5.3989268965662631E-3</v>
      </c>
      <c r="AY36" s="776">
        <f t="shared" si="31"/>
        <v>0.10913914174679225</v>
      </c>
      <c r="AZ36" s="777">
        <f t="shared" si="21"/>
        <v>1362451.3134934667</v>
      </c>
      <c r="BA36" s="778">
        <f t="shared" si="21"/>
        <v>1373684.5589896394</v>
      </c>
      <c r="BB36" s="778">
        <f t="shared" si="21"/>
        <v>877571.5095550858</v>
      </c>
      <c r="BC36" s="778">
        <f t="shared" si="21"/>
        <v>880957.01257022191</v>
      </c>
      <c r="BD36" s="778">
        <f t="shared" si="21"/>
        <v>694702.65866234247</v>
      </c>
      <c r="BE36" s="779">
        <f t="shared" si="22"/>
        <v>5189367.0532707563</v>
      </c>
      <c r="BG36" s="780">
        <v>12020724</v>
      </c>
      <c r="BH36" s="781">
        <f t="shared" si="23"/>
        <v>0.43170170559366944</v>
      </c>
      <c r="BI36" s="782">
        <f t="shared" si="24"/>
        <v>3606217.1999999997</v>
      </c>
      <c r="BJ36" s="783">
        <f t="shared" si="25"/>
        <v>1583149.8532707565</v>
      </c>
      <c r="BL36" s="784">
        <f t="shared" si="26"/>
        <v>0</v>
      </c>
      <c r="BM36" s="781">
        <f t="shared" si="27"/>
        <v>0</v>
      </c>
      <c r="BN36" s="785">
        <f t="shared" si="28"/>
        <v>0</v>
      </c>
      <c r="BO36" s="783">
        <f t="shared" si="41"/>
        <v>3606217</v>
      </c>
      <c r="BQ36" s="786">
        <f t="shared" si="29"/>
        <v>0</v>
      </c>
      <c r="BR36" s="548"/>
      <c r="BS36" s="780">
        <f t="shared" si="32"/>
        <v>12020724</v>
      </c>
      <c r="BT36" s="787">
        <f t="shared" si="33"/>
        <v>0.29999998336206707</v>
      </c>
      <c r="BU36" s="782">
        <f t="shared" si="34"/>
        <v>3606217</v>
      </c>
      <c r="BV36" s="788">
        <f t="shared" si="35"/>
        <v>0</v>
      </c>
      <c r="BX36" s="789">
        <f t="shared" si="36"/>
        <v>0</v>
      </c>
      <c r="BY36" s="790">
        <f t="shared" si="37"/>
        <v>0</v>
      </c>
      <c r="BZ36" s="791">
        <f t="shared" si="38"/>
        <v>0</v>
      </c>
      <c r="CA36" s="792">
        <f t="shared" si="39"/>
        <v>3606217</v>
      </c>
      <c r="CC36" s="793">
        <f t="shared" si="40"/>
        <v>0.29999998336206707</v>
      </c>
      <c r="CD36" s="672"/>
    </row>
    <row r="37" spans="1:82">
      <c r="A37" s="794" t="s">
        <v>226</v>
      </c>
      <c r="B37" s="764" t="s">
        <v>30</v>
      </c>
      <c r="C37" s="627">
        <v>2604889</v>
      </c>
      <c r="D37" s="175">
        <v>120233</v>
      </c>
      <c r="E37" s="175">
        <v>32095</v>
      </c>
      <c r="F37" s="175">
        <v>388317</v>
      </c>
      <c r="G37" s="795">
        <f t="shared" si="42"/>
        <v>4.5694616159898879E-3</v>
      </c>
      <c r="H37" s="766">
        <f t="shared" si="43"/>
        <v>4.5694616159898879E-3</v>
      </c>
      <c r="J37" s="767">
        <v>8.58772210149559</v>
      </c>
      <c r="K37" s="768">
        <v>3.353975911522431</v>
      </c>
      <c r="L37" s="768">
        <v>4.039822296622992</v>
      </c>
      <c r="M37" s="768">
        <v>3.7461598379809939</v>
      </c>
      <c r="N37" s="769">
        <f t="shared" si="2"/>
        <v>0.82355293566047949</v>
      </c>
      <c r="O37" s="770">
        <f t="shared" si="3"/>
        <v>3.7631935282363507E-3</v>
      </c>
      <c r="P37" s="771">
        <f t="shared" si="4"/>
        <v>3.5637487888237579E-3</v>
      </c>
      <c r="Q37" s="767">
        <v>0.78227240838260248</v>
      </c>
      <c r="R37" s="768">
        <v>0.29134203947124609</v>
      </c>
      <c r="S37" s="768">
        <v>0.3358526722031458</v>
      </c>
      <c r="T37" s="768">
        <v>0.30962589842834592</v>
      </c>
      <c r="U37" s="769">
        <f t="shared" si="5"/>
        <v>0.80034342624183574</v>
      </c>
      <c r="V37" s="770">
        <f t="shared" si="6"/>
        <v>3.6571385658219022E-3</v>
      </c>
      <c r="W37" s="771">
        <f t="shared" si="7"/>
        <v>3.4773197572807372E-3</v>
      </c>
      <c r="X37" s="767">
        <v>50.245430141889301</v>
      </c>
      <c r="Y37" s="768">
        <v>54.975878704341831</v>
      </c>
      <c r="Z37" s="768">
        <v>56.597366641985644</v>
      </c>
      <c r="AA37" s="768">
        <v>81.316934101885025</v>
      </c>
      <c r="AB37" s="769">
        <f t="shared" si="8"/>
        <v>1.1556230050053564</v>
      </c>
      <c r="AC37" s="770">
        <f t="shared" si="9"/>
        <v>3.9541109827323905E-3</v>
      </c>
      <c r="AD37" s="771">
        <f t="shared" si="10"/>
        <v>4.2174667400516567E-3</v>
      </c>
      <c r="AE37" s="767">
        <v>4.5769545384416093</v>
      </c>
      <c r="AF37" s="768">
        <v>4.775462032515458</v>
      </c>
      <c r="AG37" s="768">
        <v>4.7052507339893959</v>
      </c>
      <c r="AH37" s="768">
        <v>6.7209702382331962</v>
      </c>
      <c r="AI37" s="769">
        <f t="shared" si="11"/>
        <v>1.127283500961868</v>
      </c>
      <c r="AJ37" s="770">
        <f t="shared" si="12"/>
        <v>4.0535159186583861E-3</v>
      </c>
      <c r="AK37" s="771">
        <f t="shared" si="13"/>
        <v>4.3124186210385801E-3</v>
      </c>
      <c r="AL37" s="767">
        <v>5.8508449095178374</v>
      </c>
      <c r="AM37" s="768">
        <v>16.391256274523233</v>
      </c>
      <c r="AN37" s="768">
        <v>14.009865406529656</v>
      </c>
      <c r="AO37" s="768">
        <v>21.706744404614373</v>
      </c>
      <c r="AP37" s="772">
        <f t="shared" si="14"/>
        <v>1.4225629168992857</v>
      </c>
      <c r="AQ37" s="770">
        <f t="shared" si="15"/>
        <v>3.2121332291929804E-3</v>
      </c>
      <c r="AR37" s="771">
        <f t="shared" si="16"/>
        <v>3.4885080241667922E-3</v>
      </c>
      <c r="AT37" s="773">
        <f t="shared" si="30"/>
        <v>7.127497577647516E-4</v>
      </c>
      <c r="AU37" s="774">
        <f t="shared" si="17"/>
        <v>6.9546395145614749E-4</v>
      </c>
      <c r="AV37" s="774">
        <f t="shared" si="18"/>
        <v>8.4349334801033134E-4</v>
      </c>
      <c r="AW37" s="774">
        <f t="shared" si="19"/>
        <v>8.6248372420771608E-4</v>
      </c>
      <c r="AX37" s="775">
        <f t="shared" si="20"/>
        <v>6.9770160483335853E-4</v>
      </c>
      <c r="AY37" s="776">
        <f t="shared" si="31"/>
        <v>-0.16578960354248856</v>
      </c>
      <c r="AZ37" s="777">
        <f t="shared" si="21"/>
        <v>91712.512720820538</v>
      </c>
      <c r="BA37" s="778">
        <f t="shared" si="21"/>
        <v>89488.275232562082</v>
      </c>
      <c r="BB37" s="778">
        <f t="shared" si="21"/>
        <v>108535.8410389778</v>
      </c>
      <c r="BC37" s="778">
        <f t="shared" si="21"/>
        <v>110979.41271276947</v>
      </c>
      <c r="BD37" s="778">
        <f t="shared" si="21"/>
        <v>89776.2035153662</v>
      </c>
      <c r="BE37" s="779">
        <f t="shared" si="22"/>
        <v>490492.24522049609</v>
      </c>
      <c r="BG37" s="780">
        <v>2609867</v>
      </c>
      <c r="BH37" s="781">
        <f t="shared" si="23"/>
        <v>0.18793764020177889</v>
      </c>
      <c r="BI37" s="782">
        <f t="shared" si="24"/>
        <v>490492.24522049609</v>
      </c>
      <c r="BJ37" s="783">
        <f t="shared" si="25"/>
        <v>0</v>
      </c>
      <c r="BL37" s="784">
        <f t="shared" si="26"/>
        <v>490492.24522049609</v>
      </c>
      <c r="BM37" s="781">
        <f t="shared" si="27"/>
        <v>5.7683254349874527E-3</v>
      </c>
      <c r="BN37" s="785">
        <f t="shared" si="28"/>
        <v>15623.178856218778</v>
      </c>
      <c r="BO37" s="783">
        <f t="shared" si="41"/>
        <v>506115</v>
      </c>
      <c r="BQ37" s="786">
        <f t="shared" si="29"/>
        <v>0</v>
      </c>
      <c r="BR37" s="548"/>
      <c r="BS37" s="780">
        <f t="shared" si="32"/>
        <v>2609867</v>
      </c>
      <c r="BT37" s="787">
        <f t="shared" si="33"/>
        <v>0.19392367503784674</v>
      </c>
      <c r="BU37" s="782">
        <f t="shared" si="34"/>
        <v>506115</v>
      </c>
      <c r="BV37" s="788">
        <f t="shared" si="35"/>
        <v>0</v>
      </c>
      <c r="BX37" s="789">
        <f t="shared" si="36"/>
        <v>506115</v>
      </c>
      <c r="BY37" s="790">
        <f t="shared" si="37"/>
        <v>5.7683206766649371E-3</v>
      </c>
      <c r="BZ37" s="791">
        <f t="shared" si="38"/>
        <v>5.1914885574256379E-3</v>
      </c>
      <c r="CA37" s="792">
        <f t="shared" si="39"/>
        <v>506115</v>
      </c>
      <c r="CC37" s="793">
        <f t="shared" si="40"/>
        <v>0.19392367503784674</v>
      </c>
      <c r="CD37" s="672"/>
    </row>
    <row r="38" spans="1:82">
      <c r="A38" s="794" t="s">
        <v>226</v>
      </c>
      <c r="B38" s="764" t="s">
        <v>40</v>
      </c>
      <c r="C38" s="627">
        <v>12745096</v>
      </c>
      <c r="D38" s="175">
        <v>1287135</v>
      </c>
      <c r="E38" s="175">
        <v>141516</v>
      </c>
      <c r="F38" s="175">
        <v>2266478</v>
      </c>
      <c r="G38" s="795">
        <f t="shared" si="42"/>
        <v>2.7017060975639419E-2</v>
      </c>
      <c r="H38" s="766">
        <f t="shared" si="43"/>
        <v>2.7017060975639419E-2</v>
      </c>
      <c r="J38" s="767">
        <v>13.061303342191943</v>
      </c>
      <c r="K38" s="768">
        <v>7.5369057433360815</v>
      </c>
      <c r="L38" s="768">
        <v>7.2816302952503209</v>
      </c>
      <c r="M38" s="768">
        <v>9.0953319765962863</v>
      </c>
      <c r="N38" s="769">
        <f t="shared" si="2"/>
        <v>0.97259602799562239</v>
      </c>
      <c r="O38" s="770">
        <f t="shared" si="3"/>
        <v>2.6276686193022432E-2</v>
      </c>
      <c r="P38" s="771">
        <f t="shared" si="4"/>
        <v>2.4884053369047008E-2</v>
      </c>
      <c r="Q38" s="767">
        <v>0.76270122520155903</v>
      </c>
      <c r="R38" s="768">
        <v>0.4322966250764449</v>
      </c>
      <c r="S38" s="768">
        <v>0.43926607650153893</v>
      </c>
      <c r="T38" s="768">
        <v>0.56790094587284767</v>
      </c>
      <c r="U38" s="769">
        <f t="shared" si="5"/>
        <v>0.99166885616900835</v>
      </c>
      <c r="V38" s="770">
        <f t="shared" si="6"/>
        <v>2.6791977954760696E-2</v>
      </c>
      <c r="W38" s="771">
        <f t="shared" si="7"/>
        <v>2.5474636140231037E-2</v>
      </c>
      <c r="X38" s="767">
        <v>69.193957147306961</v>
      </c>
      <c r="Y38" s="768">
        <v>71.568899422918378</v>
      </c>
      <c r="Z38" s="768">
        <v>68.191964056482675</v>
      </c>
      <c r="AA38" s="768">
        <v>90.06116622855366</v>
      </c>
      <c r="AB38" s="769">
        <f t="shared" si="8"/>
        <v>1.0722259277819035</v>
      </c>
      <c r="AC38" s="770">
        <f t="shared" si="9"/>
        <v>2.5197171860532396E-2</v>
      </c>
      <c r="AD38" s="771">
        <f t="shared" si="10"/>
        <v>2.6875379757734286E-2</v>
      </c>
      <c r="AE38" s="767">
        <v>4.0405091674364728</v>
      </c>
      <c r="AF38" s="768">
        <v>4.104999416812201</v>
      </c>
      <c r="AG38" s="768">
        <v>4.1136964231161048</v>
      </c>
      <c r="AH38" s="768">
        <v>5.6233045279945362</v>
      </c>
      <c r="AI38" s="769">
        <f t="shared" si="11"/>
        <v>1.1036725581218729</v>
      </c>
      <c r="AJ38" s="770">
        <f t="shared" si="12"/>
        <v>2.4479235962534519E-2</v>
      </c>
      <c r="AK38" s="771">
        <f t="shared" si="13"/>
        <v>2.6042752788441117E-2</v>
      </c>
      <c r="AL38" s="767">
        <v>5.2976303615726961</v>
      </c>
      <c r="AM38" s="768">
        <v>9.4957933481120662</v>
      </c>
      <c r="AN38" s="768">
        <v>9.3649308316247648</v>
      </c>
      <c r="AO38" s="768">
        <v>9.9019108329740089</v>
      </c>
      <c r="AP38" s="769">
        <f t="shared" si="14"/>
        <v>1.1267330999760947</v>
      </c>
      <c r="AQ38" s="770">
        <f t="shared" si="15"/>
        <v>2.3978226055676032E-2</v>
      </c>
      <c r="AR38" s="771">
        <f t="shared" si="16"/>
        <v>2.6041333914884644E-2</v>
      </c>
      <c r="AT38" s="773">
        <f t="shared" si="30"/>
        <v>4.9768106738094023E-3</v>
      </c>
      <c r="AU38" s="774">
        <f t="shared" si="17"/>
        <v>5.0949272280462077E-3</v>
      </c>
      <c r="AV38" s="774">
        <f t="shared" si="18"/>
        <v>5.3750759515468578E-3</v>
      </c>
      <c r="AW38" s="774">
        <f t="shared" si="19"/>
        <v>5.2085505576882239E-3</v>
      </c>
      <c r="AX38" s="775">
        <f t="shared" si="20"/>
        <v>5.2082667829769294E-3</v>
      </c>
      <c r="AY38" s="776">
        <f t="shared" si="31"/>
        <v>-4.2692644570474024E-2</v>
      </c>
      <c r="AZ38" s="777">
        <f t="shared" si="21"/>
        <v>640387.18674880324</v>
      </c>
      <c r="BA38" s="778">
        <f t="shared" si="21"/>
        <v>655585.74117126281</v>
      </c>
      <c r="BB38" s="778">
        <f t="shared" si="21"/>
        <v>691633.65713036619</v>
      </c>
      <c r="BC38" s="778">
        <f t="shared" si="21"/>
        <v>670206.13346414221</v>
      </c>
      <c r="BD38" s="778">
        <f t="shared" si="21"/>
        <v>670169.61897706462</v>
      </c>
      <c r="BE38" s="779">
        <f t="shared" si="22"/>
        <v>3327982.3374916394</v>
      </c>
      <c r="BG38" s="780">
        <v>12745096</v>
      </c>
      <c r="BH38" s="781">
        <f t="shared" si="23"/>
        <v>0.26111865595140588</v>
      </c>
      <c r="BI38" s="782">
        <f t="shared" si="24"/>
        <v>3327982.3374916394</v>
      </c>
      <c r="BJ38" s="783">
        <f t="shared" si="25"/>
        <v>0</v>
      </c>
      <c r="BL38" s="784">
        <f t="shared" si="26"/>
        <v>3327982.3374916394</v>
      </c>
      <c r="BM38" s="781">
        <f t="shared" si="27"/>
        <v>3.9137999329453707E-2</v>
      </c>
      <c r="BN38" s="785">
        <f t="shared" si="28"/>
        <v>106003.02817345393</v>
      </c>
      <c r="BO38" s="783">
        <f t="shared" si="41"/>
        <v>3433985</v>
      </c>
      <c r="BQ38" s="786">
        <f t="shared" si="29"/>
        <v>0</v>
      </c>
      <c r="BR38" s="548"/>
      <c r="BS38" s="780">
        <f t="shared" si="32"/>
        <v>12745096</v>
      </c>
      <c r="BT38" s="787">
        <f t="shared" si="33"/>
        <v>0.26943578926357242</v>
      </c>
      <c r="BU38" s="782">
        <f t="shared" si="34"/>
        <v>3433985</v>
      </c>
      <c r="BV38" s="788">
        <f t="shared" si="35"/>
        <v>0</v>
      </c>
      <c r="BX38" s="789">
        <f t="shared" si="36"/>
        <v>3433985</v>
      </c>
      <c r="BY38" s="790">
        <f t="shared" si="37"/>
        <v>3.9137995670662291E-2</v>
      </c>
      <c r="BZ38" s="791">
        <f t="shared" si="38"/>
        <v>3.5224195753675115E-2</v>
      </c>
      <c r="CA38" s="792">
        <f t="shared" si="39"/>
        <v>3433985</v>
      </c>
      <c r="CC38" s="793">
        <f t="shared" si="40"/>
        <v>0.26943578926357242</v>
      </c>
      <c r="CD38" s="672"/>
    </row>
    <row r="39" spans="1:82">
      <c r="A39" s="794" t="s">
        <v>226</v>
      </c>
      <c r="B39" s="764" t="s">
        <v>51</v>
      </c>
      <c r="C39" s="627">
        <v>736481</v>
      </c>
      <c r="D39" s="175">
        <v>27254</v>
      </c>
      <c r="E39" s="175">
        <v>18878</v>
      </c>
      <c r="F39" s="175">
        <v>227896</v>
      </c>
      <c r="G39" s="795">
        <f t="shared" si="42"/>
        <v>1.6543375754476096E-3</v>
      </c>
      <c r="H39" s="766">
        <f t="shared" si="43"/>
        <v>1.6543375754476096E-3</v>
      </c>
      <c r="J39" s="767">
        <v>3.4694402420574888</v>
      </c>
      <c r="K39" s="768">
        <v>2.0660778541053322</v>
      </c>
      <c r="L39" s="768">
        <v>1.5442640125720273</v>
      </c>
      <c r="M39" s="768">
        <v>1.4436910689691704</v>
      </c>
      <c r="N39" s="769">
        <f t="shared" si="2"/>
        <v>0.84040025493262005</v>
      </c>
      <c r="O39" s="770">
        <f t="shared" si="3"/>
        <v>1.3903057201507837E-3</v>
      </c>
      <c r="P39" s="771">
        <f t="shared" si="4"/>
        <v>1.3166211859968191E-3</v>
      </c>
      <c r="Q39" s="767">
        <v>0.3128535569419939</v>
      </c>
      <c r="R39" s="768">
        <v>0.17929853281414856</v>
      </c>
      <c r="S39" s="768">
        <v>0.13392938268912755</v>
      </c>
      <c r="T39" s="768">
        <v>0.11958963737845332</v>
      </c>
      <c r="U39" s="769">
        <f t="shared" si="5"/>
        <v>0.8130013884664985</v>
      </c>
      <c r="V39" s="770">
        <f t="shared" si="6"/>
        <v>1.3449787458312073E-3</v>
      </c>
      <c r="W39" s="771">
        <f t="shared" si="7"/>
        <v>1.2788471319380914E-3</v>
      </c>
      <c r="X39" s="767">
        <v>37.011396873424104</v>
      </c>
      <c r="Y39" s="768">
        <v>43.551303020390364</v>
      </c>
      <c r="Z39" s="768">
        <v>41.282399161864852</v>
      </c>
      <c r="AA39" s="768">
        <v>39.012660239432144</v>
      </c>
      <c r="AB39" s="769">
        <f t="shared" si="8"/>
        <v>0.97493531099601194</v>
      </c>
      <c r="AC39" s="770">
        <f t="shared" si="9"/>
        <v>1.6968690709925234E-3</v>
      </c>
      <c r="AD39" s="771">
        <f t="shared" si="10"/>
        <v>1.8098856861594732E-3</v>
      </c>
      <c r="AE39" s="767">
        <v>3.3374683958746383</v>
      </c>
      <c r="AF39" s="768">
        <v>3.7794726458078038</v>
      </c>
      <c r="AG39" s="768">
        <v>3.5802985698449907</v>
      </c>
      <c r="AH39" s="768">
        <v>3.2316539123108785</v>
      </c>
      <c r="AI39" s="769">
        <f t="shared" si="11"/>
        <v>0.95024092814342698</v>
      </c>
      <c r="AJ39" s="770">
        <f t="shared" si="12"/>
        <v>1.7409664501400091E-3</v>
      </c>
      <c r="AK39" s="771">
        <f t="shared" si="13"/>
        <v>1.852163970450645E-3</v>
      </c>
      <c r="AL39" s="767">
        <v>10.667829474265615</v>
      </c>
      <c r="AM39" s="768">
        <v>21.079216803884314</v>
      </c>
      <c r="AN39" s="768">
        <v>26.732734056987788</v>
      </c>
      <c r="AO39" s="768">
        <v>27.022859029867174</v>
      </c>
      <c r="AP39" s="772">
        <f t="shared" si="14"/>
        <v>1.2534142474100449</v>
      </c>
      <c r="AQ39" s="770">
        <f t="shared" si="15"/>
        <v>1.3198649838758419E-3</v>
      </c>
      <c r="AR39" s="771">
        <f t="shared" si="16"/>
        <v>1.4334273389477225E-3</v>
      </c>
      <c r="AT39" s="773">
        <f t="shared" si="30"/>
        <v>2.6332423719936383E-4</v>
      </c>
      <c r="AU39" s="774">
        <f t="shared" si="17"/>
        <v>2.5576942638761828E-4</v>
      </c>
      <c r="AV39" s="774">
        <f t="shared" si="18"/>
        <v>3.6197713723189466E-4</v>
      </c>
      <c r="AW39" s="774">
        <f t="shared" si="19"/>
        <v>3.7043279409012901E-4</v>
      </c>
      <c r="AX39" s="775">
        <f t="shared" si="20"/>
        <v>2.8668546778954452E-4</v>
      </c>
      <c r="AY39" s="776">
        <f t="shared" si="31"/>
        <v>-7.02084716401567E-2</v>
      </c>
      <c r="AZ39" s="777">
        <f t="shared" si="21"/>
        <v>33883.038458804993</v>
      </c>
      <c r="BA39" s="778">
        <f t="shared" si="21"/>
        <v>32910.929138349362</v>
      </c>
      <c r="BB39" s="778">
        <f t="shared" si="21"/>
        <v>46577.122533352769</v>
      </c>
      <c r="BC39" s="778">
        <f t="shared" si="21"/>
        <v>47665.147508072812</v>
      </c>
      <c r="BD39" s="778">
        <f t="shared" si="21"/>
        <v>36889.026372985558</v>
      </c>
      <c r="BE39" s="779">
        <f t="shared" si="22"/>
        <v>197925.26401156548</v>
      </c>
      <c r="BG39" s="780">
        <v>736481</v>
      </c>
      <c r="BH39" s="781">
        <f t="shared" si="23"/>
        <v>0.26874456233299365</v>
      </c>
      <c r="BI39" s="782">
        <f t="shared" si="24"/>
        <v>197925.26401156548</v>
      </c>
      <c r="BJ39" s="783">
        <f t="shared" si="25"/>
        <v>0</v>
      </c>
      <c r="BL39" s="784">
        <f t="shared" si="26"/>
        <v>197925.26401156548</v>
      </c>
      <c r="BM39" s="781">
        <f t="shared" si="27"/>
        <v>2.3276562387062423E-3</v>
      </c>
      <c r="BN39" s="785">
        <f t="shared" si="28"/>
        <v>6304.3235238651532</v>
      </c>
      <c r="BO39" s="783">
        <f t="shared" si="41"/>
        <v>204230</v>
      </c>
      <c r="BQ39" s="786">
        <f t="shared" si="29"/>
        <v>0</v>
      </c>
      <c r="BR39" s="548"/>
      <c r="BS39" s="780">
        <f t="shared" si="32"/>
        <v>736481</v>
      </c>
      <c r="BT39" s="787">
        <f t="shared" si="33"/>
        <v>0.27730518506247953</v>
      </c>
      <c r="BU39" s="782">
        <f t="shared" si="34"/>
        <v>204230</v>
      </c>
      <c r="BV39" s="788">
        <f t="shared" si="35"/>
        <v>0</v>
      </c>
      <c r="BX39" s="789">
        <f t="shared" si="36"/>
        <v>204230</v>
      </c>
      <c r="BY39" s="790">
        <f t="shared" si="37"/>
        <v>2.3276609699283365E-3</v>
      </c>
      <c r="BZ39" s="791">
        <f t="shared" si="38"/>
        <v>2.0948948521245922E-3</v>
      </c>
      <c r="CA39" s="792">
        <f t="shared" si="39"/>
        <v>204230</v>
      </c>
      <c r="CC39" s="793">
        <f t="shared" si="40"/>
        <v>0.27730518506247953</v>
      </c>
      <c r="CD39" s="672"/>
    </row>
    <row r="40" spans="1:82">
      <c r="A40" s="794" t="s">
        <v>227</v>
      </c>
      <c r="B40" s="764" t="s">
        <v>25</v>
      </c>
      <c r="C40" s="627">
        <v>2068694</v>
      </c>
      <c r="D40" s="175">
        <v>196967</v>
      </c>
      <c r="E40" s="175">
        <v>37781</v>
      </c>
      <c r="F40" s="175">
        <v>740596</v>
      </c>
      <c r="G40" s="795">
        <f t="shared" si="42"/>
        <v>5.2280512494381672E-3</v>
      </c>
      <c r="H40" s="766">
        <f t="shared" si="43"/>
        <v>5.2280512494381672E-3</v>
      </c>
      <c r="J40" s="767">
        <v>8.9718507404266425</v>
      </c>
      <c r="K40" s="768">
        <v>4.4820247253569612</v>
      </c>
      <c r="L40" s="768">
        <v>4.4056907707718551</v>
      </c>
      <c r="M40" s="768">
        <v>5.2133876816389186</v>
      </c>
      <c r="N40" s="769">
        <f t="shared" si="2"/>
        <v>0.90835246138830117</v>
      </c>
      <c r="O40" s="770">
        <f t="shared" si="3"/>
        <v>4.7489132206913424E-3</v>
      </c>
      <c r="P40" s="771">
        <f t="shared" si="4"/>
        <v>4.4972265209011009E-3</v>
      </c>
      <c r="Q40" s="767">
        <v>0.47298136165339449</v>
      </c>
      <c r="R40" s="768">
        <v>0.24753017027607868</v>
      </c>
      <c r="S40" s="768">
        <v>0.22914428374898088</v>
      </c>
      <c r="T40" s="768">
        <v>0.26595741807949275</v>
      </c>
      <c r="U40" s="769">
        <f t="shared" si="5"/>
        <v>0.90311901263706085</v>
      </c>
      <c r="V40" s="770">
        <f t="shared" si="6"/>
        <v>4.7215524824085501E-3</v>
      </c>
      <c r="W40" s="771">
        <f t="shared" si="7"/>
        <v>4.489397225895737E-3</v>
      </c>
      <c r="X40" s="767">
        <v>69.175941026811927</v>
      </c>
      <c r="Y40" s="768">
        <v>68.510851019247468</v>
      </c>
      <c r="Z40" s="768">
        <v>68.297046322116032</v>
      </c>
      <c r="AA40" s="768">
        <v>80.659776077922771</v>
      </c>
      <c r="AB40" s="769">
        <f t="shared" si="8"/>
        <v>1.0248673110642346</v>
      </c>
      <c r="AC40" s="770">
        <f t="shared" si="9"/>
        <v>5.1011981677992011E-3</v>
      </c>
      <c r="AD40" s="771">
        <f t="shared" si="10"/>
        <v>5.440953402941354E-3</v>
      </c>
      <c r="AE40" s="767">
        <v>3.6468429677599077</v>
      </c>
      <c r="AF40" s="768">
        <v>3.7836700281038187</v>
      </c>
      <c r="AG40" s="768">
        <v>3.5521961426517614</v>
      </c>
      <c r="AH40" s="768">
        <v>4.1148034826005002</v>
      </c>
      <c r="AI40" s="769">
        <f t="shared" si="11"/>
        <v>1.0132979492896574</v>
      </c>
      <c r="AJ40" s="770">
        <f t="shared" si="12"/>
        <v>5.1594412611839762E-3</v>
      </c>
      <c r="AK40" s="771">
        <f t="shared" si="13"/>
        <v>5.4889806813065755E-3</v>
      </c>
      <c r="AL40" s="767">
        <v>7.7103312380252964</v>
      </c>
      <c r="AM40" s="768">
        <v>15.285692341599267</v>
      </c>
      <c r="AN40" s="768">
        <v>15.502006353966314</v>
      </c>
      <c r="AO40" s="768">
        <v>15.471662765844025</v>
      </c>
      <c r="AP40" s="772">
        <f t="shared" si="14"/>
        <v>1.1399698582123643</v>
      </c>
      <c r="AQ40" s="770">
        <f t="shared" si="15"/>
        <v>4.586131125990032E-3</v>
      </c>
      <c r="AR40" s="771">
        <f t="shared" si="16"/>
        <v>4.9807259199260729E-3</v>
      </c>
      <c r="AT40" s="773">
        <f t="shared" si="30"/>
        <v>8.994453041802202E-4</v>
      </c>
      <c r="AU40" s="774">
        <f t="shared" si="17"/>
        <v>8.9787944517914743E-4</v>
      </c>
      <c r="AV40" s="774">
        <f t="shared" si="18"/>
        <v>1.0881906805882708E-3</v>
      </c>
      <c r="AW40" s="774">
        <f t="shared" si="19"/>
        <v>1.0977961362613152E-3</v>
      </c>
      <c r="AX40" s="775">
        <f t="shared" si="20"/>
        <v>9.9614518398521458E-4</v>
      </c>
      <c r="AY40" s="776">
        <f t="shared" si="31"/>
        <v>-4.7550126688355288E-2</v>
      </c>
      <c r="AZ40" s="777">
        <f t="shared" si="21"/>
        <v>115735.41485304483</v>
      </c>
      <c r="BA40" s="778">
        <f t="shared" si="21"/>
        <v>115533.92918154455</v>
      </c>
      <c r="BB40" s="778">
        <f t="shared" si="21"/>
        <v>140022.07724224875</v>
      </c>
      <c r="BC40" s="778">
        <f t="shared" si="21"/>
        <v>141258.05167227323</v>
      </c>
      <c r="BD40" s="778">
        <f t="shared" si="21"/>
        <v>128178.19559074732</v>
      </c>
      <c r="BE40" s="779">
        <f t="shared" si="22"/>
        <v>640727.66853985866</v>
      </c>
      <c r="BG40" s="780">
        <v>3047407</v>
      </c>
      <c r="BH40" s="781">
        <f t="shared" si="23"/>
        <v>0.21025339527665934</v>
      </c>
      <c r="BI40" s="782">
        <f t="shared" si="24"/>
        <v>640727.66853985866</v>
      </c>
      <c r="BJ40" s="783">
        <f t="shared" si="25"/>
        <v>0</v>
      </c>
      <c r="BL40" s="784">
        <f t="shared" si="26"/>
        <v>640727.66853985866</v>
      </c>
      <c r="BM40" s="781">
        <f t="shared" si="27"/>
        <v>7.5351358627030046E-3</v>
      </c>
      <c r="BN40" s="785">
        <f t="shared" si="28"/>
        <v>20408.483643255731</v>
      </c>
      <c r="BO40" s="783">
        <f t="shared" si="41"/>
        <v>661136</v>
      </c>
      <c r="BQ40" s="786">
        <f t="shared" si="29"/>
        <v>0</v>
      </c>
      <c r="BR40" s="548"/>
      <c r="BS40" s="780">
        <f t="shared" si="32"/>
        <v>3047407</v>
      </c>
      <c r="BT40" s="787">
        <f t="shared" si="33"/>
        <v>0.21695034499822308</v>
      </c>
      <c r="BU40" s="782">
        <f t="shared" si="34"/>
        <v>661136</v>
      </c>
      <c r="BV40" s="788">
        <f t="shared" si="35"/>
        <v>0</v>
      </c>
      <c r="BX40" s="789">
        <f t="shared" si="36"/>
        <v>661136</v>
      </c>
      <c r="BY40" s="790">
        <f t="shared" si="37"/>
        <v>7.5351342261888105E-3</v>
      </c>
      <c r="BZ40" s="791">
        <f t="shared" si="38"/>
        <v>6.78162073620058E-3</v>
      </c>
      <c r="CA40" s="792">
        <f t="shared" si="39"/>
        <v>661136</v>
      </c>
      <c r="CC40" s="793">
        <f t="shared" si="40"/>
        <v>0.21695034499822308</v>
      </c>
      <c r="CD40" s="672"/>
    </row>
    <row r="41" spans="1:82">
      <c r="A41" s="794" t="s">
        <v>227</v>
      </c>
      <c r="B41" s="764" t="s">
        <v>28</v>
      </c>
      <c r="C41" s="627">
        <v>6482376</v>
      </c>
      <c r="D41" s="175">
        <v>1522746</v>
      </c>
      <c r="E41" s="175">
        <v>72014</v>
      </c>
      <c r="F41" s="175">
        <v>723645</v>
      </c>
      <c r="G41" s="795">
        <f t="shared" si="42"/>
        <v>1.8565017876600039E-2</v>
      </c>
      <c r="H41" s="766">
        <f t="shared" si="43"/>
        <v>1.8565017876600039E-2</v>
      </c>
      <c r="J41" s="767">
        <v>28.025032050011234</v>
      </c>
      <c r="K41" s="768">
        <v>6.5232631919715116</v>
      </c>
      <c r="L41" s="768">
        <v>18.24961092626382</v>
      </c>
      <c r="M41" s="768">
        <v>21.145138445302301</v>
      </c>
      <c r="N41" s="769">
        <f t="shared" si="2"/>
        <v>1.1978340749715837</v>
      </c>
      <c r="O41" s="770">
        <f t="shared" si="3"/>
        <v>2.2237811015048122E-2</v>
      </c>
      <c r="P41" s="771">
        <f t="shared" si="4"/>
        <v>2.1059233726975098E-2</v>
      </c>
      <c r="Q41" s="767">
        <v>2.8699282943585609</v>
      </c>
      <c r="R41" s="768">
        <v>0.66929775146545356</v>
      </c>
      <c r="S41" s="768">
        <v>1.8049204125068334</v>
      </c>
      <c r="T41" s="768">
        <v>2.1042721223804488</v>
      </c>
      <c r="U41" s="769">
        <f t="shared" si="5"/>
        <v>1.1884918056903948</v>
      </c>
      <c r="V41" s="770">
        <f t="shared" si="6"/>
        <v>2.206437161883484E-2</v>
      </c>
      <c r="W41" s="771">
        <f t="shared" si="7"/>
        <v>2.0979482724334694E-2</v>
      </c>
      <c r="X41" s="767">
        <v>65.071448396177786</v>
      </c>
      <c r="Y41" s="768">
        <v>76.682473292327614</v>
      </c>
      <c r="Z41" s="768">
        <v>79.970349898035849</v>
      </c>
      <c r="AA41" s="768">
        <v>91.352487016413477</v>
      </c>
      <c r="AB41" s="769">
        <f t="shared" si="8"/>
        <v>1.0776531680080332</v>
      </c>
      <c r="AC41" s="770">
        <f t="shared" si="9"/>
        <v>1.7227266088695476E-2</v>
      </c>
      <c r="AD41" s="771">
        <f t="shared" si="10"/>
        <v>1.8374654143087869E-2</v>
      </c>
      <c r="AE41" s="767">
        <v>6.6636994588917435</v>
      </c>
      <c r="AF41" s="768">
        <v>7.8677504557122129</v>
      </c>
      <c r="AG41" s="768">
        <v>7.9092161202490328</v>
      </c>
      <c r="AH41" s="768">
        <v>9.0910018033704372</v>
      </c>
      <c r="AI41" s="769">
        <f t="shared" si="11"/>
        <v>1.0712438771767705</v>
      </c>
      <c r="AJ41" s="770">
        <f t="shared" si="12"/>
        <v>1.7330337444287251E-2</v>
      </c>
      <c r="AK41" s="771">
        <f t="shared" si="13"/>
        <v>1.8437245937438469E-2</v>
      </c>
      <c r="AL41" s="767">
        <v>2.3219045130816078</v>
      </c>
      <c r="AM41" s="768">
        <v>11.755232164586637</v>
      </c>
      <c r="AN41" s="768">
        <v>4.3820304016973317</v>
      </c>
      <c r="AO41" s="768">
        <v>4.3202595836731801</v>
      </c>
      <c r="AP41" s="772">
        <f t="shared" si="14"/>
        <v>1.2919205262644085</v>
      </c>
      <c r="AQ41" s="770">
        <f t="shared" si="15"/>
        <v>1.4370092818542669E-2</v>
      </c>
      <c r="AR41" s="771">
        <f t="shared" si="16"/>
        <v>1.5606508363322917E-2</v>
      </c>
      <c r="AT41" s="773">
        <f t="shared" si="30"/>
        <v>4.21184674539502E-3</v>
      </c>
      <c r="AU41" s="774">
        <f t="shared" si="17"/>
        <v>4.1958965448669391E-3</v>
      </c>
      <c r="AV41" s="774">
        <f t="shared" si="18"/>
        <v>3.6749308286175737E-3</v>
      </c>
      <c r="AW41" s="774">
        <f t="shared" si="19"/>
        <v>3.687449187487694E-3</v>
      </c>
      <c r="AX41" s="775">
        <f t="shared" si="20"/>
        <v>3.1213016726645837E-3</v>
      </c>
      <c r="AY41" s="776">
        <f t="shared" si="31"/>
        <v>1.7581836150192265E-2</v>
      </c>
      <c r="AZ41" s="777">
        <f t="shared" si="21"/>
        <v>541956.05681662203</v>
      </c>
      <c r="BA41" s="778">
        <f t="shared" si="21"/>
        <v>539903.67734837951</v>
      </c>
      <c r="BB41" s="778">
        <f t="shared" si="21"/>
        <v>472868.82485194254</v>
      </c>
      <c r="BC41" s="778">
        <f t="shared" si="21"/>
        <v>474479.61480257008</v>
      </c>
      <c r="BD41" s="778">
        <f t="shared" si="21"/>
        <v>401631.03002309555</v>
      </c>
      <c r="BE41" s="779">
        <f t="shared" si="22"/>
        <v>2430839.2038426097</v>
      </c>
      <c r="BG41" s="780">
        <v>6578658</v>
      </c>
      <c r="BH41" s="781">
        <f t="shared" si="23"/>
        <v>0.36950381123971021</v>
      </c>
      <c r="BI41" s="782">
        <f t="shared" si="24"/>
        <v>1973597.4</v>
      </c>
      <c r="BJ41" s="783">
        <f t="shared" si="25"/>
        <v>457241.80384260975</v>
      </c>
      <c r="BL41" s="784">
        <f t="shared" si="26"/>
        <v>0</v>
      </c>
      <c r="BM41" s="781">
        <f t="shared" si="27"/>
        <v>0</v>
      </c>
      <c r="BN41" s="785">
        <f t="shared" si="28"/>
        <v>0</v>
      </c>
      <c r="BO41" s="783">
        <f t="shared" si="41"/>
        <v>1973597</v>
      </c>
      <c r="BQ41" s="786">
        <f t="shared" si="29"/>
        <v>0</v>
      </c>
      <c r="BR41" s="548"/>
      <c r="BS41" s="780">
        <f t="shared" si="32"/>
        <v>6578658</v>
      </c>
      <c r="BT41" s="787">
        <f t="shared" si="33"/>
        <v>0.29999993919732565</v>
      </c>
      <c r="BU41" s="782">
        <f t="shared" si="34"/>
        <v>1973597</v>
      </c>
      <c r="BV41" s="788">
        <f t="shared" si="35"/>
        <v>0</v>
      </c>
      <c r="BX41" s="789">
        <f t="shared" si="36"/>
        <v>0</v>
      </c>
      <c r="BY41" s="790">
        <f t="shared" si="37"/>
        <v>0</v>
      </c>
      <c r="BZ41" s="791">
        <f t="shared" si="38"/>
        <v>0</v>
      </c>
      <c r="CA41" s="792">
        <f t="shared" si="39"/>
        <v>1973597</v>
      </c>
      <c r="CC41" s="793">
        <f t="shared" si="40"/>
        <v>0.29999993919732565</v>
      </c>
      <c r="CD41" s="672"/>
    </row>
    <row r="42" spans="1:82">
      <c r="A42" s="794" t="s">
        <v>227</v>
      </c>
      <c r="B42" s="764" t="s">
        <v>32</v>
      </c>
      <c r="C42" s="627">
        <v>1899811</v>
      </c>
      <c r="D42" s="175">
        <v>180625</v>
      </c>
      <c r="E42" s="175">
        <v>20219</v>
      </c>
      <c r="F42" s="175">
        <v>226791</v>
      </c>
      <c r="G42" s="765">
        <f t="shared" si="42"/>
        <v>3.7612655796920857E-3</v>
      </c>
      <c r="H42" s="766">
        <f t="shared" si="43"/>
        <v>3.7612655796920857E-3</v>
      </c>
      <c r="J42" s="767">
        <v>7.608599966141866</v>
      </c>
      <c r="K42" s="768">
        <v>5.1692512721104915</v>
      </c>
      <c r="L42" s="768">
        <v>7.7540727902946278</v>
      </c>
      <c r="M42" s="768">
        <v>8.9334289529650324</v>
      </c>
      <c r="N42" s="769">
        <f t="shared" si="2"/>
        <v>1.1500971386548942</v>
      </c>
      <c r="O42" s="770">
        <f t="shared" si="3"/>
        <v>4.3258207809250097E-3</v>
      </c>
      <c r="P42" s="771">
        <f t="shared" si="4"/>
        <v>4.0965574725345139E-3</v>
      </c>
      <c r="Q42" s="767">
        <v>0.70818473562300743</v>
      </c>
      <c r="R42" s="768">
        <v>0.48672727894958989</v>
      </c>
      <c r="S42" s="768">
        <v>0.72460145651246777</v>
      </c>
      <c r="T42" s="768">
        <v>0.79643813026090104</v>
      </c>
      <c r="U42" s="769">
        <f t="shared" si="5"/>
        <v>1.1400155949855248</v>
      </c>
      <c r="V42" s="770">
        <f t="shared" si="6"/>
        <v>4.2879014177312482E-3</v>
      </c>
      <c r="W42" s="771">
        <f t="shared" si="7"/>
        <v>4.0770684645354697E-3</v>
      </c>
      <c r="X42" s="767">
        <v>63.818012527509737</v>
      </c>
      <c r="Y42" s="768">
        <v>76.918100314998782</v>
      </c>
      <c r="Z42" s="768">
        <v>82.248006932409012</v>
      </c>
      <c r="AA42" s="768">
        <v>95.121865571986746</v>
      </c>
      <c r="AB42" s="769">
        <f t="shared" si="8"/>
        <v>1.0988498860626592</v>
      </c>
      <c r="AC42" s="770">
        <f t="shared" si="9"/>
        <v>3.4229111977881286E-3</v>
      </c>
      <c r="AD42" s="771">
        <f t="shared" si="10"/>
        <v>3.6508874419215621E-3</v>
      </c>
      <c r="AE42" s="767">
        <v>5.9399814066841392</v>
      </c>
      <c r="AF42" s="768">
        <v>7.2424681443287211</v>
      </c>
      <c r="AG42" s="768">
        <v>7.6858996852680619</v>
      </c>
      <c r="AH42" s="768">
        <v>8.480358568020776</v>
      </c>
      <c r="AI42" s="769">
        <f t="shared" si="11"/>
        <v>1.0842189748815474</v>
      </c>
      <c r="AJ42" s="770">
        <f t="shared" si="12"/>
        <v>3.4691014147792514E-3</v>
      </c>
      <c r="AK42" s="771">
        <f t="shared" si="13"/>
        <v>3.6906768937315015E-3</v>
      </c>
      <c r="AL42" s="767">
        <v>8.3876156995372018</v>
      </c>
      <c r="AM42" s="768">
        <v>14.879930625541988</v>
      </c>
      <c r="AN42" s="768">
        <v>10.607071813325586</v>
      </c>
      <c r="AO42" s="768">
        <v>10.647856055363322</v>
      </c>
      <c r="AP42" s="772">
        <f t="shared" si="14"/>
        <v>0.98408901154710049</v>
      </c>
      <c r="AQ42" s="770">
        <f t="shared" si="15"/>
        <v>3.822078628618102E-3</v>
      </c>
      <c r="AR42" s="771">
        <f t="shared" si="16"/>
        <v>4.1509336673063663E-3</v>
      </c>
      <c r="AT42" s="773">
        <f t="shared" si="30"/>
        <v>8.1931149450690285E-4</v>
      </c>
      <c r="AU42" s="774">
        <f t="shared" si="17"/>
        <v>8.1541369290709397E-4</v>
      </c>
      <c r="AV42" s="774">
        <f t="shared" si="18"/>
        <v>7.3017748838431241E-4</v>
      </c>
      <c r="AW42" s="774">
        <f t="shared" si="19"/>
        <v>7.3813537874630039E-4</v>
      </c>
      <c r="AX42" s="775">
        <f t="shared" si="20"/>
        <v>8.3018673346127328E-4</v>
      </c>
      <c r="AY42" s="776">
        <f t="shared" si="31"/>
        <v>4.571844361170431E-2</v>
      </c>
      <c r="AZ42" s="777">
        <f t="shared" si="21"/>
        <v>105424.26011890656</v>
      </c>
      <c r="BA42" s="778">
        <f t="shared" si="21"/>
        <v>104922.71357341661</v>
      </c>
      <c r="BB42" s="778">
        <f t="shared" si="21"/>
        <v>93955.012207813066</v>
      </c>
      <c r="BC42" s="778">
        <f t="shared" si="21"/>
        <v>94978.987471366374</v>
      </c>
      <c r="BD42" s="778">
        <f t="shared" si="21"/>
        <v>106823.62291079664</v>
      </c>
      <c r="BE42" s="779">
        <f t="shared" si="22"/>
        <v>506104.59628229926</v>
      </c>
      <c r="BG42" s="780">
        <v>1923269</v>
      </c>
      <c r="BH42" s="781">
        <f t="shared" si="23"/>
        <v>0.26314810683388506</v>
      </c>
      <c r="BI42" s="782">
        <f t="shared" si="24"/>
        <v>506104.59628229926</v>
      </c>
      <c r="BJ42" s="783">
        <f t="shared" si="25"/>
        <v>0</v>
      </c>
      <c r="BL42" s="784">
        <f t="shared" si="26"/>
        <v>506104.59628229926</v>
      </c>
      <c r="BM42" s="781">
        <f t="shared" si="27"/>
        <v>5.9519310324404121E-3</v>
      </c>
      <c r="BN42" s="785">
        <f t="shared" si="28"/>
        <v>16120.464094428769</v>
      </c>
      <c r="BO42" s="783">
        <f t="shared" si="41"/>
        <v>522225</v>
      </c>
      <c r="BQ42" s="786">
        <f t="shared" si="29"/>
        <v>0</v>
      </c>
      <c r="BR42" s="548"/>
      <c r="BS42" s="780">
        <f t="shared" si="32"/>
        <v>1923269</v>
      </c>
      <c r="BT42" s="787">
        <f t="shared" si="33"/>
        <v>0.27152987959562597</v>
      </c>
      <c r="BU42" s="782">
        <f t="shared" si="34"/>
        <v>522225</v>
      </c>
      <c r="BV42" s="788">
        <f t="shared" si="35"/>
        <v>0</v>
      </c>
      <c r="BX42" s="789">
        <f t="shared" si="36"/>
        <v>522225</v>
      </c>
      <c r="BY42" s="790">
        <f t="shared" si="37"/>
        <v>5.9519304216854802E-3</v>
      </c>
      <c r="BZ42" s="791">
        <f t="shared" si="38"/>
        <v>5.356737326302527E-3</v>
      </c>
      <c r="CA42" s="792">
        <f t="shared" si="39"/>
        <v>522225</v>
      </c>
      <c r="CC42" s="793">
        <f t="shared" si="40"/>
        <v>0.27152987959562597</v>
      </c>
      <c r="CD42" s="672"/>
    </row>
    <row r="43" spans="1:82">
      <c r="A43" s="794" t="s">
        <v>228</v>
      </c>
      <c r="B43" s="764" t="s">
        <v>24</v>
      </c>
      <c r="C43" s="627">
        <v>4550086</v>
      </c>
      <c r="D43" s="175">
        <v>129839</v>
      </c>
      <c r="E43" s="175">
        <v>61652</v>
      </c>
      <c r="F43" s="175">
        <v>1393044</v>
      </c>
      <c r="G43" s="795">
        <f t="shared" si="42"/>
        <v>8.7261420900667241E-3</v>
      </c>
      <c r="H43" s="766">
        <f t="shared" si="43"/>
        <v>8.7261420900667241E-3</v>
      </c>
      <c r="J43" s="767">
        <v>2.3373679249962795</v>
      </c>
      <c r="K43" s="768">
        <v>1.944317205840252</v>
      </c>
      <c r="L43" s="768">
        <v>2.0984220777077214</v>
      </c>
      <c r="M43" s="768">
        <v>2.1059981833517161</v>
      </c>
      <c r="N43" s="769">
        <f t="shared" si="2"/>
        <v>1.0987525202440334</v>
      </c>
      <c r="O43" s="770">
        <f t="shared" si="3"/>
        <v>9.5878706134683491E-3</v>
      </c>
      <c r="P43" s="771">
        <f t="shared" si="4"/>
        <v>9.0797249808622464E-3</v>
      </c>
      <c r="Q43" s="767">
        <v>9.8864253896849164E-2</v>
      </c>
      <c r="R43" s="768">
        <v>8.4847547858705061E-2</v>
      </c>
      <c r="S43" s="768">
        <v>9.06701755136681E-2</v>
      </c>
      <c r="T43" s="768">
        <v>9.3205239748349655E-2</v>
      </c>
      <c r="U43" s="769">
        <f t="shared" si="5"/>
        <v>1.1181230609285835</v>
      </c>
      <c r="V43" s="770">
        <f t="shared" si="6"/>
        <v>9.7569007038431528E-3</v>
      </c>
      <c r="W43" s="771">
        <f t="shared" si="7"/>
        <v>9.2771610855480972E-3</v>
      </c>
      <c r="X43" s="767">
        <v>59.71751244274683</v>
      </c>
      <c r="Y43" s="768">
        <v>69.859111079301456</v>
      </c>
      <c r="Z43" s="768">
        <v>76.546396857359781</v>
      </c>
      <c r="AA43" s="768">
        <v>81.113410757153048</v>
      </c>
      <c r="AB43" s="769">
        <f t="shared" si="8"/>
        <v>1.0632798059501944</v>
      </c>
      <c r="AC43" s="770">
        <f t="shared" si="9"/>
        <v>8.2068163443287188E-3</v>
      </c>
      <c r="AD43" s="771">
        <f t="shared" si="10"/>
        <v>8.7534151482012643E-3</v>
      </c>
      <c r="AE43" s="767">
        <v>2.5258870240710474</v>
      </c>
      <c r="AF43" s="768">
        <v>3.0485633994613872</v>
      </c>
      <c r="AG43" s="768">
        <v>3.3074734162048824</v>
      </c>
      <c r="AH43" s="768">
        <v>3.5898392297730726</v>
      </c>
      <c r="AI43" s="769">
        <f t="shared" si="11"/>
        <v>1.082538952054394</v>
      </c>
      <c r="AJ43" s="770">
        <f t="shared" si="12"/>
        <v>8.060811182365903E-3</v>
      </c>
      <c r="AK43" s="771">
        <f t="shared" si="13"/>
        <v>8.5756644209790019E-3</v>
      </c>
      <c r="AL43" s="767">
        <v>25.549042495242542</v>
      </c>
      <c r="AM43" s="768">
        <v>35.929893985128473</v>
      </c>
      <c r="AN43" s="768">
        <v>36.47807448774924</v>
      </c>
      <c r="AO43" s="768">
        <v>38.515422946880371</v>
      </c>
      <c r="AP43" s="772">
        <f t="shared" si="14"/>
        <v>1.0843817382136312</v>
      </c>
      <c r="AQ43" s="770">
        <f t="shared" si="15"/>
        <v>8.0471127302842952E-3</v>
      </c>
      <c r="AR43" s="771">
        <f t="shared" si="16"/>
        <v>8.7394934543311119E-3</v>
      </c>
      <c r="AT43" s="773">
        <f t="shared" si="30"/>
        <v>1.8159449961724493E-3</v>
      </c>
      <c r="AU43" s="774">
        <f t="shared" si="17"/>
        <v>1.8554322171096195E-3</v>
      </c>
      <c r="AV43" s="774">
        <f t="shared" si="18"/>
        <v>1.750683029640253E-3</v>
      </c>
      <c r="AW43" s="774">
        <f t="shared" si="19"/>
        <v>1.7151328841958004E-3</v>
      </c>
      <c r="AX43" s="775">
        <f t="shared" si="20"/>
        <v>1.7478986908662224E-3</v>
      </c>
      <c r="AY43" s="776">
        <f t="shared" si="31"/>
        <v>1.8215349495461299E-2</v>
      </c>
      <c r="AZ43" s="777">
        <f t="shared" si="21"/>
        <v>233665.28960188793</v>
      </c>
      <c r="BA43" s="778">
        <f t="shared" si="21"/>
        <v>238746.27660056099</v>
      </c>
      <c r="BB43" s="778">
        <f t="shared" si="21"/>
        <v>225267.75755004917</v>
      </c>
      <c r="BC43" s="778">
        <f t="shared" si="21"/>
        <v>220693.370634049</v>
      </c>
      <c r="BD43" s="778">
        <f t="shared" si="21"/>
        <v>224909.48495514409</v>
      </c>
      <c r="BE43" s="779">
        <f t="shared" si="22"/>
        <v>1143282.1793416911</v>
      </c>
      <c r="BG43" s="780">
        <v>5000804</v>
      </c>
      <c r="BH43" s="781">
        <f t="shared" si="23"/>
        <v>0.22861967382478718</v>
      </c>
      <c r="BI43" s="782">
        <f t="shared" si="24"/>
        <v>1143282.1793416911</v>
      </c>
      <c r="BJ43" s="783">
        <f t="shared" si="25"/>
        <v>0</v>
      </c>
      <c r="BL43" s="784">
        <f t="shared" si="26"/>
        <v>1143282.1793416911</v>
      </c>
      <c r="BM43" s="781">
        <f t="shared" si="27"/>
        <v>1.344531690098367E-2</v>
      </c>
      <c r="BN43" s="785">
        <f t="shared" si="28"/>
        <v>36415.870271207394</v>
      </c>
      <c r="BO43" s="783">
        <f t="shared" si="41"/>
        <v>1179698</v>
      </c>
      <c r="BQ43" s="786">
        <f t="shared" si="29"/>
        <v>0</v>
      </c>
      <c r="BR43" s="548"/>
      <c r="BS43" s="780">
        <f t="shared" si="32"/>
        <v>5000804</v>
      </c>
      <c r="BT43" s="787">
        <f t="shared" si="33"/>
        <v>0.23590166701194448</v>
      </c>
      <c r="BU43" s="782">
        <f t="shared" si="34"/>
        <v>1179698</v>
      </c>
      <c r="BV43" s="788">
        <f t="shared" si="35"/>
        <v>0</v>
      </c>
      <c r="BX43" s="789">
        <f t="shared" si="36"/>
        <v>1179698</v>
      </c>
      <c r="BY43" s="790">
        <f t="shared" si="37"/>
        <v>1.3445316510319341E-2</v>
      </c>
      <c r="BZ43" s="791">
        <f t="shared" si="38"/>
        <v>1.2100784739076911E-2</v>
      </c>
      <c r="CA43" s="792">
        <f t="shared" si="39"/>
        <v>1179698</v>
      </c>
      <c r="CC43" s="793">
        <f t="shared" si="40"/>
        <v>0.23590166701194448</v>
      </c>
      <c r="CD43" s="672"/>
    </row>
    <row r="44" spans="1:82">
      <c r="A44" s="794" t="s">
        <v>228</v>
      </c>
      <c r="B44" s="764" t="s">
        <v>344</v>
      </c>
      <c r="C44" s="627">
        <v>705034</v>
      </c>
      <c r="D44" s="175">
        <v>28422</v>
      </c>
      <c r="E44" s="175">
        <v>15538</v>
      </c>
      <c r="F44" s="175">
        <v>418259</v>
      </c>
      <c r="G44" s="795">
        <f t="shared" si="42"/>
        <v>1.8576189369516659E-3</v>
      </c>
      <c r="H44" s="766">
        <f t="shared" si="43"/>
        <v>1.8576189369516659E-3</v>
      </c>
      <c r="J44" s="767">
        <v>2.6155528221948887</v>
      </c>
      <c r="K44" s="768">
        <v>1.3983089137029627</v>
      </c>
      <c r="L44" s="768">
        <v>1.5445728965960179</v>
      </c>
      <c r="M44" s="768">
        <v>1.8291929463251384</v>
      </c>
      <c r="N44" s="769">
        <f t="shared" si="2"/>
        <v>0.9628227167983846</v>
      </c>
      <c r="O44" s="770">
        <f t="shared" si="3"/>
        <v>1.7885577116519302E-3</v>
      </c>
      <c r="P44" s="771">
        <f t="shared" si="4"/>
        <v>1.6937663000361738E-3</v>
      </c>
      <c r="Q44" s="767">
        <v>9.9669556205390739E-2</v>
      </c>
      <c r="R44" s="768">
        <v>5.2832581392513109E-2</v>
      </c>
      <c r="S44" s="768">
        <v>5.8014121779238044E-2</v>
      </c>
      <c r="T44" s="768">
        <v>6.7953110393320887E-2</v>
      </c>
      <c r="U44" s="769">
        <f t="shared" si="5"/>
        <v>0.95607670597072658</v>
      </c>
      <c r="V44" s="770">
        <f t="shared" si="6"/>
        <v>1.7760261941895915E-3</v>
      </c>
      <c r="W44" s="771">
        <f t="shared" si="7"/>
        <v>1.688700294875383E-3</v>
      </c>
      <c r="X44" s="767">
        <v>27.952507858411916</v>
      </c>
      <c r="Y44" s="768">
        <v>37.360937197444009</v>
      </c>
      <c r="Z44" s="768">
        <v>36.826011560693644</v>
      </c>
      <c r="AA44" s="768">
        <v>46.109795340455655</v>
      </c>
      <c r="AB44" s="769">
        <f t="shared" si="8"/>
        <v>1.1411124095025229</v>
      </c>
      <c r="AC44" s="770">
        <f t="shared" si="9"/>
        <v>1.6279017925688055E-3</v>
      </c>
      <c r="AD44" s="771">
        <f t="shared" si="10"/>
        <v>1.7363249782850279E-3</v>
      </c>
      <c r="AE44" s="767">
        <v>1.0651721614773884</v>
      </c>
      <c r="AF44" s="768">
        <v>1.4116156566272406</v>
      </c>
      <c r="AG44" s="768">
        <v>1.3831841307289821</v>
      </c>
      <c r="AH44" s="768">
        <v>1.712943415443541</v>
      </c>
      <c r="AI44" s="769">
        <f t="shared" si="11"/>
        <v>1.1332954104973407</v>
      </c>
      <c r="AJ44" s="770">
        <f t="shared" si="12"/>
        <v>1.639130380080212E-3</v>
      </c>
      <c r="AK44" s="771">
        <f t="shared" si="13"/>
        <v>1.7438235140094108E-3</v>
      </c>
      <c r="AL44" s="767">
        <v>10.687036262932386</v>
      </c>
      <c r="AM44" s="768">
        <v>26.718657680945348</v>
      </c>
      <c r="AN44" s="768">
        <v>23.842197180755957</v>
      </c>
      <c r="AO44" s="768">
        <v>25.207726409119697</v>
      </c>
      <c r="AP44" s="772">
        <f t="shared" si="14"/>
        <v>1.1857221120855641</v>
      </c>
      <c r="AQ44" s="770">
        <f t="shared" si="15"/>
        <v>1.5666562325335268E-3</v>
      </c>
      <c r="AR44" s="771">
        <f t="shared" si="16"/>
        <v>1.7014527257567177E-3</v>
      </c>
      <c r="AT44" s="773">
        <f t="shared" si="30"/>
        <v>3.3875326000723478E-4</v>
      </c>
      <c r="AU44" s="774">
        <f t="shared" si="17"/>
        <v>3.3774005897507661E-4</v>
      </c>
      <c r="AV44" s="774">
        <f t="shared" si="18"/>
        <v>3.4726499565700559E-4</v>
      </c>
      <c r="AW44" s="774">
        <f t="shared" si="19"/>
        <v>3.4876470280188217E-4</v>
      </c>
      <c r="AX44" s="775">
        <f t="shared" si="20"/>
        <v>3.4029054515134359E-4</v>
      </c>
      <c r="AY44" s="776">
        <f t="shared" si="31"/>
        <v>-7.7952141571482531E-2</v>
      </c>
      <c r="AZ44" s="777">
        <f t="shared" si="21"/>
        <v>43588.808455108789</v>
      </c>
      <c r="BA44" s="778">
        <f t="shared" si="21"/>
        <v>43458.435611711451</v>
      </c>
      <c r="BB44" s="778">
        <f t="shared" si="21"/>
        <v>44684.049324083622</v>
      </c>
      <c r="BC44" s="778">
        <f t="shared" si="21"/>
        <v>44877.022957681678</v>
      </c>
      <c r="BD44" s="778">
        <f t="shared" si="21"/>
        <v>43786.617408109014</v>
      </c>
      <c r="BE44" s="779">
        <f t="shared" si="22"/>
        <v>220394.93375669455</v>
      </c>
      <c r="BG44" s="780">
        <v>716454</v>
      </c>
      <c r="BH44" s="781">
        <f t="shared" si="23"/>
        <v>0.30761909872328796</v>
      </c>
      <c r="BI44" s="782">
        <f t="shared" si="24"/>
        <v>214936.19999999998</v>
      </c>
      <c r="BJ44" s="783">
        <f t="shared" si="25"/>
        <v>5458.7337566945644</v>
      </c>
      <c r="BL44" s="784">
        <f t="shared" si="26"/>
        <v>0</v>
      </c>
      <c r="BM44" s="781">
        <f t="shared" si="27"/>
        <v>0</v>
      </c>
      <c r="BN44" s="785">
        <f t="shared" si="28"/>
        <v>0</v>
      </c>
      <c r="BO44" s="783">
        <f t="shared" si="41"/>
        <v>214936</v>
      </c>
      <c r="BQ44" s="786">
        <f t="shared" si="29"/>
        <v>0</v>
      </c>
      <c r="BR44" s="548"/>
      <c r="BS44" s="780">
        <f t="shared" si="32"/>
        <v>716454</v>
      </c>
      <c r="BT44" s="787">
        <f t="shared" si="33"/>
        <v>0.29999972084739562</v>
      </c>
      <c r="BU44" s="782">
        <f t="shared" si="34"/>
        <v>214936</v>
      </c>
      <c r="BV44" s="788">
        <f t="shared" si="35"/>
        <v>0</v>
      </c>
      <c r="BX44" s="789">
        <f t="shared" si="36"/>
        <v>0</v>
      </c>
      <c r="BY44" s="790">
        <f t="shared" si="37"/>
        <v>0</v>
      </c>
      <c r="BZ44" s="791">
        <f t="shared" si="38"/>
        <v>0</v>
      </c>
      <c r="CA44" s="792">
        <f t="shared" si="39"/>
        <v>214936</v>
      </c>
      <c r="CC44" s="793">
        <f t="shared" si="40"/>
        <v>0.29999972084739562</v>
      </c>
      <c r="CD44" s="672"/>
    </row>
    <row r="45" spans="1:82">
      <c r="A45" s="794" t="s">
        <v>228</v>
      </c>
      <c r="B45" s="764" t="s">
        <v>345</v>
      </c>
      <c r="C45" s="627">
        <v>8487532</v>
      </c>
      <c r="D45" s="175">
        <v>222118</v>
      </c>
      <c r="E45" s="175">
        <v>86457</v>
      </c>
      <c r="F45" s="175">
        <v>1402006</v>
      </c>
      <c r="G45" s="795">
        <f t="shared" si="42"/>
        <v>1.3625384988188253E-2</v>
      </c>
      <c r="H45" s="766">
        <f t="shared" si="43"/>
        <v>1.3625384988188253E-2</v>
      </c>
      <c r="J45" s="767">
        <v>2.8967768637798126</v>
      </c>
      <c r="K45" s="768">
        <v>2.1946189886707304</v>
      </c>
      <c r="L45" s="768">
        <v>2.3000506032439341</v>
      </c>
      <c r="M45" s="768">
        <v>2.5691152827417096</v>
      </c>
      <c r="N45" s="769">
        <f t="shared" si="2"/>
        <v>1.074118069474993</v>
      </c>
      <c r="O45" s="770">
        <f t="shared" si="3"/>
        <v>1.4635272219366316E-2</v>
      </c>
      <c r="P45" s="771">
        <f t="shared" si="4"/>
        <v>1.3859620360879024E-2</v>
      </c>
      <c r="Q45" s="767">
        <v>0.17887553870187622</v>
      </c>
      <c r="R45" s="768">
        <v>0.13508021153120933</v>
      </c>
      <c r="S45" s="768">
        <v>0.14506873798932982</v>
      </c>
      <c r="T45" s="768">
        <v>0.15842870857899324</v>
      </c>
      <c r="U45" s="769">
        <f t="shared" si="5"/>
        <v>1.0715098961184502</v>
      </c>
      <c r="V45" s="770">
        <f t="shared" si="6"/>
        <v>1.4599734853267484E-2</v>
      </c>
      <c r="W45" s="771">
        <f t="shared" si="7"/>
        <v>1.3881876648258107E-2</v>
      </c>
      <c r="X45" s="767">
        <v>82.421987686895335</v>
      </c>
      <c r="Y45" s="768">
        <v>132.58479715436326</v>
      </c>
      <c r="Z45" s="768">
        <v>102.20353157376088</v>
      </c>
      <c r="AA45" s="768">
        <v>99.657968701204069</v>
      </c>
      <c r="AB45" s="769">
        <f t="shared" si="8"/>
        <v>1.0447289457201427</v>
      </c>
      <c r="AC45" s="770">
        <f t="shared" si="9"/>
        <v>1.30420287903444E-2</v>
      </c>
      <c r="AD45" s="771">
        <f t="shared" si="10"/>
        <v>1.3910667375366453E-2</v>
      </c>
      <c r="AE45" s="767">
        <v>5.0895454298593386</v>
      </c>
      <c r="AF45" s="768">
        <v>8.1606796158642627</v>
      </c>
      <c r="AG45" s="768">
        <v>6.4461787590877941</v>
      </c>
      <c r="AH45" s="768">
        <v>6.1455721302191293</v>
      </c>
      <c r="AI45" s="769">
        <f t="shared" si="11"/>
        <v>1.0414417240324765</v>
      </c>
      <c r="AJ45" s="770">
        <f t="shared" si="12"/>
        <v>1.3083194838238839E-2</v>
      </c>
      <c r="AK45" s="771">
        <f t="shared" si="13"/>
        <v>1.3918833470813333E-2</v>
      </c>
      <c r="AL45" s="767">
        <v>28.452998474776663</v>
      </c>
      <c r="AM45" s="768">
        <v>60.413583332143318</v>
      </c>
      <c r="AN45" s="768">
        <v>44.435340435386756</v>
      </c>
      <c r="AO45" s="768">
        <v>38.790773372711804</v>
      </c>
      <c r="AP45" s="772">
        <f t="shared" si="14"/>
        <v>0.98675734644543533</v>
      </c>
      <c r="AQ45" s="770">
        <f t="shared" si="15"/>
        <v>1.3808242763299958E-2</v>
      </c>
      <c r="AR45" s="771">
        <f t="shared" si="16"/>
        <v>1.4996316230481282E-2</v>
      </c>
      <c r="AT45" s="773">
        <f t="shared" si="30"/>
        <v>2.7719240721758051E-3</v>
      </c>
      <c r="AU45" s="774">
        <f t="shared" si="17"/>
        <v>2.7763753296516213E-3</v>
      </c>
      <c r="AV45" s="774">
        <f t="shared" si="18"/>
        <v>2.7821334750732906E-3</v>
      </c>
      <c r="AW45" s="774">
        <f t="shared" si="19"/>
        <v>2.7837666941626666E-3</v>
      </c>
      <c r="AX45" s="775">
        <f t="shared" si="20"/>
        <v>2.9992632460962565E-3</v>
      </c>
      <c r="AY45" s="776">
        <f t="shared" si="31"/>
        <v>3.582121381483893E-2</v>
      </c>
      <c r="AZ45" s="777">
        <f t="shared" si="21"/>
        <v>356675.1429391288</v>
      </c>
      <c r="BA45" s="778">
        <f t="shared" si="21"/>
        <v>357247.90498278727</v>
      </c>
      <c r="BB45" s="778">
        <f t="shared" si="21"/>
        <v>357988.82980174385</v>
      </c>
      <c r="BC45" s="778">
        <f t="shared" si="21"/>
        <v>358198.98297945946</v>
      </c>
      <c r="BD45" s="778">
        <f t="shared" si="21"/>
        <v>385927.83177273464</v>
      </c>
      <c r="BE45" s="779">
        <f t="shared" si="22"/>
        <v>1816038.692475854</v>
      </c>
      <c r="BG45" s="780">
        <v>8616129</v>
      </c>
      <c r="BH45" s="781">
        <f t="shared" si="23"/>
        <v>0.21077199429997553</v>
      </c>
      <c r="BI45" s="782">
        <f t="shared" si="24"/>
        <v>1816038.692475854</v>
      </c>
      <c r="BJ45" s="783">
        <f t="shared" si="25"/>
        <v>0</v>
      </c>
      <c r="BL45" s="784">
        <f t="shared" si="26"/>
        <v>1816038.692475854</v>
      </c>
      <c r="BM45" s="781">
        <f t="shared" si="27"/>
        <v>2.1357120898049392E-2</v>
      </c>
      <c r="BN45" s="785">
        <f t="shared" si="28"/>
        <v>57844.537969421843</v>
      </c>
      <c r="BO45" s="783">
        <f t="shared" si="41"/>
        <v>1873883</v>
      </c>
      <c r="BQ45" s="786">
        <f t="shared" si="29"/>
        <v>0</v>
      </c>
      <c r="BR45" s="548"/>
      <c r="BS45" s="780">
        <f t="shared" si="32"/>
        <v>8616129</v>
      </c>
      <c r="BT45" s="787">
        <f t="shared" si="33"/>
        <v>0.21748548565138706</v>
      </c>
      <c r="BU45" s="782">
        <f t="shared" si="34"/>
        <v>1873883</v>
      </c>
      <c r="BV45" s="788">
        <f t="shared" si="35"/>
        <v>0</v>
      </c>
      <c r="BX45" s="789">
        <f t="shared" si="36"/>
        <v>1873883</v>
      </c>
      <c r="BY45" s="790">
        <f t="shared" si="37"/>
        <v>2.1357118549244585E-2</v>
      </c>
      <c r="BZ45" s="791">
        <f t="shared" si="38"/>
        <v>1.9221406503372607E-2</v>
      </c>
      <c r="CA45" s="792">
        <f t="shared" si="39"/>
        <v>1873883</v>
      </c>
      <c r="CC45" s="793">
        <f t="shared" si="40"/>
        <v>0.21748548565138706</v>
      </c>
      <c r="CD45" s="672"/>
    </row>
    <row r="46" spans="1:82" ht="16.5" customHeight="1">
      <c r="A46" s="794" t="s">
        <v>228</v>
      </c>
      <c r="B46" s="764" t="s">
        <v>346</v>
      </c>
      <c r="C46" s="627">
        <v>170603</v>
      </c>
      <c r="D46" s="175">
        <v>11675</v>
      </c>
      <c r="E46" s="175">
        <v>5322</v>
      </c>
      <c r="F46" s="175">
        <v>60529</v>
      </c>
      <c r="G46" s="765">
        <f t="shared" si="42"/>
        <v>4.5057558827234678E-4</v>
      </c>
      <c r="H46" s="766">
        <f t="shared" si="43"/>
        <v>4.5057558827234678E-4</v>
      </c>
      <c r="J46" s="767">
        <v>2.6243417203042716</v>
      </c>
      <c r="K46" s="768">
        <v>2.06749490079733</v>
      </c>
      <c r="L46" s="768">
        <v>2.1966604823747682</v>
      </c>
      <c r="M46" s="768">
        <v>2.1937241638481773</v>
      </c>
      <c r="N46" s="769">
        <f t="shared" si="2"/>
        <v>1.0644651232169628</v>
      </c>
      <c r="O46" s="770">
        <f t="shared" si="3"/>
        <v>4.7962199908887913E-4</v>
      </c>
      <c r="P46" s="771">
        <f t="shared" si="4"/>
        <v>4.5420260890682298E-4</v>
      </c>
      <c r="Q46" s="767">
        <v>0.22349384582163678</v>
      </c>
      <c r="R46" s="768">
        <v>0.21433239783168659</v>
      </c>
      <c r="S46" s="768">
        <v>0.21260549470281917</v>
      </c>
      <c r="T46" s="768">
        <v>0.19288275041715541</v>
      </c>
      <c r="U46" s="769">
        <f t="shared" si="5"/>
        <v>1.1286096730909378</v>
      </c>
      <c r="V46" s="770">
        <f t="shared" si="6"/>
        <v>5.0852396738281034E-4</v>
      </c>
      <c r="W46" s="771">
        <f t="shared" si="7"/>
        <v>4.8352021860938849E-4</v>
      </c>
      <c r="X46" s="767">
        <v>28.064170079968793</v>
      </c>
      <c r="Y46" s="768">
        <v>27.145188206934915</v>
      </c>
      <c r="Z46" s="768">
        <v>30.05751391465677</v>
      </c>
      <c r="AA46" s="768">
        <v>32.056181886508831</v>
      </c>
      <c r="AB46" s="769">
        <f t="shared" si="8"/>
        <v>1.0142681961187796</v>
      </c>
      <c r="AC46" s="770">
        <f t="shared" si="9"/>
        <v>4.442371258376522E-4</v>
      </c>
      <c r="AD46" s="771">
        <f t="shared" si="10"/>
        <v>4.7382466276193558E-4</v>
      </c>
      <c r="AE46" s="767">
        <v>2.3899971762204539</v>
      </c>
      <c r="AF46" s="768">
        <v>2.8140786590288722</v>
      </c>
      <c r="AG46" s="768">
        <v>2.9091398814868019</v>
      </c>
      <c r="AH46" s="768">
        <v>2.8185332650465065</v>
      </c>
      <c r="AI46" s="769">
        <f t="shared" si="11"/>
        <v>1.0155039326167026</v>
      </c>
      <c r="AJ46" s="770">
        <f t="shared" si="12"/>
        <v>4.4369654690683952E-4</v>
      </c>
      <c r="AK46" s="771">
        <f t="shared" si="13"/>
        <v>4.720359533224339E-4</v>
      </c>
      <c r="AL46" s="767">
        <v>10.693794128576737</v>
      </c>
      <c r="AM46" s="768">
        <v>13.129506726457398</v>
      </c>
      <c r="AN46" s="768">
        <v>13.683277027027026</v>
      </c>
      <c r="AO46" s="768">
        <v>14.612676659528908</v>
      </c>
      <c r="AP46" s="772">
        <f t="shared" si="14"/>
        <v>1.0760456886888583</v>
      </c>
      <c r="AQ46" s="770">
        <f t="shared" si="15"/>
        <v>4.1873276665544264E-4</v>
      </c>
      <c r="AR46" s="771">
        <f t="shared" si="16"/>
        <v>4.5476090567578157E-4</v>
      </c>
      <c r="AT46" s="773">
        <f t="shared" si="30"/>
        <v>9.0840521781364607E-5</v>
      </c>
      <c r="AU46" s="774">
        <f t="shared" si="17"/>
        <v>9.6704043721877709E-5</v>
      </c>
      <c r="AV46" s="774">
        <f t="shared" si="18"/>
        <v>9.4764932552387121E-5</v>
      </c>
      <c r="AW46" s="774">
        <f t="shared" si="19"/>
        <v>9.4407190664486782E-5</v>
      </c>
      <c r="AX46" s="775">
        <f t="shared" si="20"/>
        <v>9.0952181135156319E-5</v>
      </c>
      <c r="AY46" s="776">
        <f t="shared" si="31"/>
        <v>3.7936546115307612E-2</v>
      </c>
      <c r="AZ46" s="777">
        <f t="shared" si="21"/>
        <v>11688.832467045406</v>
      </c>
      <c r="BA46" s="778">
        <f t="shared" si="21"/>
        <v>12443.316526422117</v>
      </c>
      <c r="BB46" s="778">
        <f t="shared" si="21"/>
        <v>12193.802926646629</v>
      </c>
      <c r="BC46" s="778">
        <f t="shared" si="21"/>
        <v>12147.770771479403</v>
      </c>
      <c r="BD46" s="778">
        <f t="shared" si="21"/>
        <v>11703.200146295323</v>
      </c>
      <c r="BE46" s="779">
        <f t="shared" si="22"/>
        <v>60176.92283788888</v>
      </c>
      <c r="BG46" s="780">
        <v>170603</v>
      </c>
      <c r="BH46" s="781">
        <f t="shared" si="23"/>
        <v>0.35273074235440688</v>
      </c>
      <c r="BI46" s="782">
        <f t="shared" si="24"/>
        <v>51180.9</v>
      </c>
      <c r="BJ46" s="783">
        <f t="shared" si="25"/>
        <v>8996.0228378888787</v>
      </c>
      <c r="BL46" s="784">
        <f t="shared" si="26"/>
        <v>0</v>
      </c>
      <c r="BM46" s="781">
        <f t="shared" si="27"/>
        <v>0</v>
      </c>
      <c r="BN46" s="785">
        <f t="shared" si="28"/>
        <v>0</v>
      </c>
      <c r="BO46" s="783">
        <f t="shared" si="41"/>
        <v>51181</v>
      </c>
      <c r="BQ46" s="786">
        <f t="shared" si="29"/>
        <v>1</v>
      </c>
      <c r="BR46" s="548"/>
      <c r="BS46" s="780">
        <f t="shared" si="32"/>
        <v>170603</v>
      </c>
      <c r="BT46" s="787">
        <f t="shared" si="33"/>
        <v>0.30000058615616371</v>
      </c>
      <c r="BU46" s="782">
        <f t="shared" si="34"/>
        <v>51180.9</v>
      </c>
      <c r="BV46" s="788">
        <f t="shared" si="35"/>
        <v>9.9999999998544808E-2</v>
      </c>
      <c r="BX46" s="789">
        <f t="shared" si="36"/>
        <v>0</v>
      </c>
      <c r="BY46" s="790">
        <f t="shared" si="37"/>
        <v>0</v>
      </c>
      <c r="BZ46" s="791">
        <f t="shared" si="38"/>
        <v>0</v>
      </c>
      <c r="CA46" s="792">
        <f t="shared" si="39"/>
        <v>51181</v>
      </c>
      <c r="CC46" s="793">
        <f t="shared" si="40"/>
        <v>0.30000058615616371</v>
      </c>
      <c r="CD46" s="672"/>
    </row>
    <row r="47" spans="1:82">
      <c r="A47" s="794" t="s">
        <v>228</v>
      </c>
      <c r="B47" s="764" t="s">
        <v>347</v>
      </c>
      <c r="C47" s="627">
        <v>1199851</v>
      </c>
      <c r="D47" s="175">
        <v>61663</v>
      </c>
      <c r="E47" s="175">
        <v>18247</v>
      </c>
      <c r="F47" s="175">
        <v>313578</v>
      </c>
      <c r="G47" s="795">
        <f t="shared" si="42"/>
        <v>2.4343917796090541E-3</v>
      </c>
      <c r="H47" s="766">
        <f t="shared" si="43"/>
        <v>2.4343917796090541E-3</v>
      </c>
      <c r="J47" s="767">
        <v>2.3018086155869781</v>
      </c>
      <c r="K47" s="768">
        <v>1.8714498597475455</v>
      </c>
      <c r="L47" s="768">
        <v>2.7255388346838654</v>
      </c>
      <c r="M47" s="768">
        <v>3.379350030141941</v>
      </c>
      <c r="N47" s="769">
        <f t="shared" si="2"/>
        <v>1.2499873812155375</v>
      </c>
      <c r="O47" s="770">
        <f t="shared" si="3"/>
        <v>3.0429590054461535E-3</v>
      </c>
      <c r="P47" s="771">
        <f t="shared" si="4"/>
        <v>2.8816858311247577E-3</v>
      </c>
      <c r="Q47" s="767">
        <v>0.15794010138539991</v>
      </c>
      <c r="R47" s="768">
        <v>0.12054951539089166</v>
      </c>
      <c r="S47" s="768">
        <v>0.1590504069225078</v>
      </c>
      <c r="T47" s="768">
        <v>0.19664325941233121</v>
      </c>
      <c r="U47" s="769">
        <f t="shared" si="5"/>
        <v>1.1819101496945379</v>
      </c>
      <c r="V47" s="770">
        <f t="shared" si="6"/>
        <v>2.8772323526528895E-3</v>
      </c>
      <c r="W47" s="771">
        <f t="shared" si="7"/>
        <v>2.7357609579440976E-3</v>
      </c>
      <c r="X47" s="767">
        <v>30.822514523731229</v>
      </c>
      <c r="Y47" s="768">
        <v>53.352691093969142</v>
      </c>
      <c r="Z47" s="768">
        <v>79.509949837384923</v>
      </c>
      <c r="AA47" s="768">
        <v>73.872855811914292</v>
      </c>
      <c r="AB47" s="769">
        <f t="shared" si="8"/>
        <v>1.3009553130389218</v>
      </c>
      <c r="AC47" s="770">
        <f t="shared" si="9"/>
        <v>1.8712339733810844E-3</v>
      </c>
      <c r="AD47" s="771">
        <f t="shared" si="10"/>
        <v>1.9958638187074738E-3</v>
      </c>
      <c r="AE47" s="767">
        <v>2.1149069631011295</v>
      </c>
      <c r="AF47" s="768">
        <v>3.4367156686984583</v>
      </c>
      <c r="AG47" s="768">
        <v>4.639849454756007</v>
      </c>
      <c r="AH47" s="768">
        <v>4.2986370217298404</v>
      </c>
      <c r="AI47" s="769">
        <f t="shared" si="11"/>
        <v>1.2285075855666157</v>
      </c>
      <c r="AJ47" s="770">
        <f t="shared" si="12"/>
        <v>1.9815846545923094E-3</v>
      </c>
      <c r="AK47" s="771">
        <f t="shared" si="13"/>
        <v>2.1081507350923399E-3</v>
      </c>
      <c r="AL47" s="767">
        <v>13.390563539910664</v>
      </c>
      <c r="AM47" s="768">
        <v>28.508747277453804</v>
      </c>
      <c r="AN47" s="768">
        <v>29.17219480624545</v>
      </c>
      <c r="AO47" s="768">
        <v>21.860078166809917</v>
      </c>
      <c r="AP47" s="772">
        <f t="shared" si="14"/>
        <v>1.0579537896315043</v>
      </c>
      <c r="AQ47" s="770">
        <f t="shared" si="15"/>
        <v>2.3010379124942465E-3</v>
      </c>
      <c r="AR47" s="771">
        <f t="shared" si="16"/>
        <v>2.4990212574915343E-3</v>
      </c>
      <c r="AT47" s="773">
        <f t="shared" si="30"/>
        <v>5.7633716622495156E-4</v>
      </c>
      <c r="AU47" s="774">
        <f t="shared" si="17"/>
        <v>5.4715219158881954E-4</v>
      </c>
      <c r="AV47" s="774">
        <f t="shared" si="18"/>
        <v>3.9917276374149479E-4</v>
      </c>
      <c r="AW47" s="774">
        <f t="shared" si="19"/>
        <v>4.2163014701846802E-4</v>
      </c>
      <c r="AX47" s="775">
        <f t="shared" si="20"/>
        <v>4.9980425149830684E-4</v>
      </c>
      <c r="AY47" s="776">
        <f t="shared" si="31"/>
        <v>3.9865154591284179E-3</v>
      </c>
      <c r="AZ47" s="777">
        <f t="shared" si="21"/>
        <v>74159.73013397149</v>
      </c>
      <c r="BA47" s="778">
        <f t="shared" si="21"/>
        <v>70404.376549612192</v>
      </c>
      <c r="BB47" s="778">
        <f t="shared" si="21"/>
        <v>51363.240427126249</v>
      </c>
      <c r="BC47" s="778">
        <f t="shared" si="21"/>
        <v>54252.926501415379</v>
      </c>
      <c r="BD47" s="778">
        <f t="shared" si="21"/>
        <v>64311.917715990203</v>
      </c>
      <c r="BE47" s="779">
        <f t="shared" si="22"/>
        <v>314492.19132811553</v>
      </c>
      <c r="BG47" s="780">
        <v>1347958</v>
      </c>
      <c r="BH47" s="781">
        <f t="shared" si="23"/>
        <v>0.23331008186317045</v>
      </c>
      <c r="BI47" s="782">
        <f t="shared" si="24"/>
        <v>314492.19132811553</v>
      </c>
      <c r="BJ47" s="783">
        <f t="shared" si="25"/>
        <v>0</v>
      </c>
      <c r="BL47" s="784">
        <f t="shared" si="26"/>
        <v>314492.19132811553</v>
      </c>
      <c r="BM47" s="781">
        <f t="shared" si="27"/>
        <v>3.6985157747548097E-3</v>
      </c>
      <c r="BN47" s="785">
        <f t="shared" si="28"/>
        <v>10017.218012885336</v>
      </c>
      <c r="BO47" s="783">
        <f t="shared" si="41"/>
        <v>324509</v>
      </c>
      <c r="BQ47" s="786">
        <f t="shared" si="29"/>
        <v>0</v>
      </c>
      <c r="BR47" s="548"/>
      <c r="BS47" s="780">
        <f t="shared" si="32"/>
        <v>1347958</v>
      </c>
      <c r="BT47" s="787">
        <f t="shared" si="33"/>
        <v>0.2407411803631864</v>
      </c>
      <c r="BU47" s="782">
        <f t="shared" si="34"/>
        <v>324509</v>
      </c>
      <c r="BV47" s="788">
        <f t="shared" si="35"/>
        <v>0</v>
      </c>
      <c r="BX47" s="789">
        <f t="shared" si="36"/>
        <v>324509</v>
      </c>
      <c r="BY47" s="790">
        <f t="shared" si="37"/>
        <v>3.6985111574718435E-3</v>
      </c>
      <c r="BZ47" s="791">
        <f t="shared" si="38"/>
        <v>3.3286600086573927E-3</v>
      </c>
      <c r="CA47" s="792">
        <f t="shared" si="39"/>
        <v>324509</v>
      </c>
      <c r="CC47" s="793">
        <f t="shared" si="40"/>
        <v>0.2407411803631864</v>
      </c>
      <c r="CD47" s="672"/>
    </row>
    <row r="48" spans="1:82">
      <c r="A48" s="794" t="s">
        <v>228</v>
      </c>
      <c r="B48" s="764" t="s">
        <v>348</v>
      </c>
      <c r="C48" s="627">
        <v>4543756</v>
      </c>
      <c r="D48" s="175">
        <v>187266</v>
      </c>
      <c r="E48" s="175">
        <v>63759</v>
      </c>
      <c r="F48" s="175">
        <v>994681</v>
      </c>
      <c r="G48" s="795">
        <f t="shared" si="42"/>
        <v>8.5024693171900697E-3</v>
      </c>
      <c r="H48" s="766">
        <f t="shared" si="43"/>
        <v>8.5024693171900697E-3</v>
      </c>
      <c r="J48" s="767">
        <v>4.6066913646259025</v>
      </c>
      <c r="K48" s="768">
        <v>2.6052602436323364</v>
      </c>
      <c r="L48" s="768">
        <v>2.7993357457988401</v>
      </c>
      <c r="M48" s="768">
        <v>2.9370912341787041</v>
      </c>
      <c r="N48" s="769">
        <f t="shared" si="2"/>
        <v>0.93744466278837724</v>
      </c>
      <c r="O48" s="770">
        <f t="shared" si="3"/>
        <v>7.9705944819217691E-3</v>
      </c>
      <c r="P48" s="771">
        <f t="shared" si="4"/>
        <v>7.5481625428034643E-3</v>
      </c>
      <c r="Q48" s="767">
        <v>0.25866990351642838</v>
      </c>
      <c r="R48" s="768">
        <v>0.16890249812434263</v>
      </c>
      <c r="S48" s="768">
        <v>0.1810610173694088</v>
      </c>
      <c r="T48" s="768">
        <v>0.18826739427012279</v>
      </c>
      <c r="U48" s="769">
        <f t="shared" si="5"/>
        <v>0.99109648571081632</v>
      </c>
      <c r="V48" s="770">
        <f t="shared" si="6"/>
        <v>8.4267674601311224E-3</v>
      </c>
      <c r="W48" s="771">
        <f t="shared" si="7"/>
        <v>8.0124295133287993E-3</v>
      </c>
      <c r="X48" s="767">
        <v>60.089370965893899</v>
      </c>
      <c r="Y48" s="768">
        <v>61.375230712440015</v>
      </c>
      <c r="Z48" s="768">
        <v>66.464250896412693</v>
      </c>
      <c r="AA48" s="768">
        <v>73.070531219122003</v>
      </c>
      <c r="AB48" s="769">
        <f t="shared" si="8"/>
        <v>1.0327254943983701</v>
      </c>
      <c r="AC48" s="770">
        <f t="shared" si="9"/>
        <v>8.2330390440717369E-3</v>
      </c>
      <c r="AD48" s="771">
        <f t="shared" si="10"/>
        <v>8.7813843591018955E-3</v>
      </c>
      <c r="AE48" s="767">
        <v>3.3740727476265127</v>
      </c>
      <c r="AF48" s="768">
        <v>3.9790381078535897</v>
      </c>
      <c r="AG48" s="768">
        <v>4.2989073047277451</v>
      </c>
      <c r="AH48" s="768">
        <v>4.6838172238134641</v>
      </c>
      <c r="AI48" s="769">
        <f t="shared" si="11"/>
        <v>1.0750496667822353</v>
      </c>
      <c r="AJ48" s="770">
        <f t="shared" si="12"/>
        <v>7.9089083787533977E-3</v>
      </c>
      <c r="AK48" s="771">
        <f t="shared" si="13"/>
        <v>8.4140594113942986E-3</v>
      </c>
      <c r="AL48" s="767">
        <v>13.043932447333294</v>
      </c>
      <c r="AM48" s="768">
        <v>23.558195716704567</v>
      </c>
      <c r="AN48" s="768">
        <v>23.742865069386646</v>
      </c>
      <c r="AO48" s="768">
        <v>24.878536413443978</v>
      </c>
      <c r="AP48" s="772">
        <f t="shared" si="14"/>
        <v>1.133836263732076</v>
      </c>
      <c r="AQ48" s="770">
        <f t="shared" si="15"/>
        <v>7.4988511032481773E-3</v>
      </c>
      <c r="AR48" s="771">
        <f t="shared" si="16"/>
        <v>8.1440589101236267E-3</v>
      </c>
      <c r="AT48" s="773">
        <f t="shared" si="30"/>
        <v>1.509632508560693E-3</v>
      </c>
      <c r="AU48" s="774">
        <f t="shared" si="17"/>
        <v>1.6024859026657599E-3</v>
      </c>
      <c r="AV48" s="774">
        <f t="shared" si="18"/>
        <v>1.7562768718203791E-3</v>
      </c>
      <c r="AW48" s="774">
        <f t="shared" si="19"/>
        <v>1.6828118822788598E-3</v>
      </c>
      <c r="AX48" s="775">
        <f t="shared" si="20"/>
        <v>1.6288117820247253E-3</v>
      </c>
      <c r="AY48" s="776">
        <f t="shared" si="31"/>
        <v>-3.7924320313362424E-2</v>
      </c>
      <c r="AZ48" s="777">
        <f t="shared" si="21"/>
        <v>194250.77193899793</v>
      </c>
      <c r="BA48" s="778">
        <f t="shared" si="21"/>
        <v>206198.60916413946</v>
      </c>
      <c r="BB48" s="778">
        <f t="shared" si="21"/>
        <v>225987.54077903542</v>
      </c>
      <c r="BC48" s="778">
        <f t="shared" si="21"/>
        <v>216534.49121365717</v>
      </c>
      <c r="BD48" s="778">
        <f t="shared" si="21"/>
        <v>209586.0709195355</v>
      </c>
      <c r="BE48" s="779">
        <f t="shared" si="22"/>
        <v>1052557.4840153656</v>
      </c>
      <c r="BG48" s="780">
        <v>4658904</v>
      </c>
      <c r="BH48" s="781">
        <f t="shared" si="23"/>
        <v>0.22592384046019529</v>
      </c>
      <c r="BI48" s="782">
        <f t="shared" si="24"/>
        <v>1052557.4840153656</v>
      </c>
      <c r="BJ48" s="783">
        <f t="shared" si="25"/>
        <v>0</v>
      </c>
      <c r="BL48" s="784">
        <f t="shared" si="26"/>
        <v>1052557.4840153656</v>
      </c>
      <c r="BM48" s="781">
        <f t="shared" si="27"/>
        <v>1.2378369211735142E-2</v>
      </c>
      <c r="BN48" s="785">
        <f t="shared" si="28"/>
        <v>33526.103601966875</v>
      </c>
      <c r="BO48" s="783">
        <f t="shared" si="41"/>
        <v>1086084</v>
      </c>
      <c r="BQ48" s="786">
        <f t="shared" si="29"/>
        <v>0</v>
      </c>
      <c r="BR48" s="548"/>
      <c r="BS48" s="780">
        <f t="shared" si="32"/>
        <v>4658904</v>
      </c>
      <c r="BT48" s="787">
        <f t="shared" si="33"/>
        <v>0.23312006428979862</v>
      </c>
      <c r="BU48" s="782">
        <f t="shared" si="34"/>
        <v>1086084</v>
      </c>
      <c r="BV48" s="788">
        <f t="shared" si="35"/>
        <v>0</v>
      </c>
      <c r="BX48" s="789">
        <f t="shared" si="36"/>
        <v>1086084</v>
      </c>
      <c r="BY48" s="790">
        <f t="shared" si="37"/>
        <v>1.2378374072681034E-2</v>
      </c>
      <c r="BZ48" s="791">
        <f t="shared" si="38"/>
        <v>1.1140536554741643E-2</v>
      </c>
      <c r="CA48" s="792">
        <f t="shared" si="39"/>
        <v>1086084</v>
      </c>
      <c r="CC48" s="793">
        <f t="shared" si="40"/>
        <v>0.23312006428979862</v>
      </c>
      <c r="CD48" s="672"/>
    </row>
    <row r="49" spans="1:82" s="696" customFormat="1" ht="15" thickBot="1">
      <c r="A49" s="830"/>
      <c r="B49" s="831" t="s">
        <v>328</v>
      </c>
      <c r="C49" s="832">
        <f>SUM(C9:C48)-C32</f>
        <v>525422953</v>
      </c>
      <c r="D49" s="833">
        <f>SUM(D9:D48)-D32</f>
        <v>47351081</v>
      </c>
      <c r="E49" s="833">
        <f>SUM(E9:E48)-E32</f>
        <v>4481273</v>
      </c>
      <c r="F49" s="833">
        <f>SUM(F9:F48)-F32</f>
        <v>63382684</v>
      </c>
      <c r="G49" s="834">
        <f>SUM(G9:G48)</f>
        <v>1</v>
      </c>
      <c r="H49" s="835">
        <f>SUM(H9:H48)</f>
        <v>1</v>
      </c>
      <c r="J49" s="836">
        <v>13.526760546299428</v>
      </c>
      <c r="K49" s="837">
        <v>6.9491805201049877</v>
      </c>
      <c r="L49" s="837">
        <v>8.9536027544539518</v>
      </c>
      <c r="M49" s="837">
        <v>10.705045615153841</v>
      </c>
      <c r="N49" s="838"/>
      <c r="O49" s="839">
        <f>SUM(O9:O48)</f>
        <v>1.0559648704864018</v>
      </c>
      <c r="P49" s="840">
        <f>SUM(P9:P48)</f>
        <v>1</v>
      </c>
      <c r="Q49" s="836">
        <v>0.94516480852199081</v>
      </c>
      <c r="R49" s="837">
        <v>0.49283534368231213</v>
      </c>
      <c r="S49" s="837">
        <v>0.61981636789595917</v>
      </c>
      <c r="T49" s="837">
        <v>0.74193378363769658</v>
      </c>
      <c r="U49" s="838"/>
      <c r="V49" s="839">
        <f>SUM(V9:V48)</f>
        <v>1.0517118991328491</v>
      </c>
      <c r="W49" s="840">
        <f>SUM(W9:W48)</f>
        <v>1.0000000000000002</v>
      </c>
      <c r="X49" s="841">
        <v>103.16343259700481</v>
      </c>
      <c r="Y49" s="842">
        <v>125.95961510933006</v>
      </c>
      <c r="Z49" s="842">
        <v>126.23027057650225</v>
      </c>
      <c r="AA49" s="842">
        <v>117.50453980589081</v>
      </c>
      <c r="AB49" s="838"/>
      <c r="AC49" s="839">
        <f>SUM(AC9:AC48)</f>
        <v>0.93755593735493437</v>
      </c>
      <c r="AD49" s="840">
        <f>SUM(AD9:AD48)</f>
        <v>1</v>
      </c>
      <c r="AE49" s="841">
        <v>7.2084107413060252</v>
      </c>
      <c r="AF49" s="842">
        <v>8.9330461372962819</v>
      </c>
      <c r="AG49" s="842">
        <v>8.7383358378650051</v>
      </c>
      <c r="AH49" s="842">
        <v>8.1438782184524161</v>
      </c>
      <c r="AI49" s="838"/>
      <c r="AJ49" s="839">
        <f>SUM(AJ9:AJ48)</f>
        <v>0.93996345783382196</v>
      </c>
      <c r="AK49" s="840">
        <f>SUM(AK9:AK48)</f>
        <v>0.99999999999999978</v>
      </c>
      <c r="AL49" s="841">
        <v>7.6266177880429513</v>
      </c>
      <c r="AM49" s="842">
        <v>18.125822857085176</v>
      </c>
      <c r="AN49" s="842">
        <v>14.098265696868143</v>
      </c>
      <c r="AO49" s="842">
        <v>10.97655666591031</v>
      </c>
      <c r="AP49" s="843"/>
      <c r="AQ49" s="839">
        <f>SUM(AQ9:AQ48)</f>
        <v>0.92077564590386107</v>
      </c>
      <c r="AR49" s="840">
        <f>SUM(AR9:AR48)</f>
        <v>0.99999999999999989</v>
      </c>
      <c r="AT49" s="844">
        <f>SUM(AT9:AT48)</f>
        <v>0.19999999999999998</v>
      </c>
      <c r="AU49" s="845">
        <f>SUM(AU9:AU48)</f>
        <v>0.20000000000000007</v>
      </c>
      <c r="AV49" s="845">
        <f>SUM(AV9:AV48)</f>
        <v>0.20000000000000007</v>
      </c>
      <c r="AW49" s="845">
        <f>SUM(AW9:AW48)</f>
        <v>0.2</v>
      </c>
      <c r="AX49" s="846">
        <f>SUM(AX9:AX48)</f>
        <v>0.2</v>
      </c>
      <c r="AZ49" s="847">
        <f t="shared" si="21"/>
        <v>25734842.199999999</v>
      </c>
      <c r="BA49" s="848">
        <f t="shared" si="21"/>
        <v>25734842.20000001</v>
      </c>
      <c r="BB49" s="848">
        <f t="shared" si="21"/>
        <v>25734842.20000001</v>
      </c>
      <c r="BC49" s="848">
        <f t="shared" si="21"/>
        <v>25734842.200000003</v>
      </c>
      <c r="BD49" s="848">
        <f t="shared" si="21"/>
        <v>25734842.200000003</v>
      </c>
      <c r="BE49" s="849">
        <f t="shared" si="22"/>
        <v>128674211.00000003</v>
      </c>
      <c r="BG49" s="850">
        <v>535846200</v>
      </c>
      <c r="BH49" s="851"/>
      <c r="BI49" s="852">
        <f>SUM(BI9:BI48)</f>
        <v>125965768.31029718</v>
      </c>
      <c r="BJ49" s="853">
        <f>SUM(BJ9:BJ48)</f>
        <v>2708442.6897028498</v>
      </c>
      <c r="BL49" s="854">
        <f>SUM(BL9:BL48)</f>
        <v>85031999.450905293</v>
      </c>
      <c r="BM49" s="855">
        <f>SUM(BM9:BM48)</f>
        <v>1.0000000000000002</v>
      </c>
      <c r="BN49" s="856">
        <f>SUM(BN9:BN48)</f>
        <v>2708442.6897028503</v>
      </c>
      <c r="BO49" s="853">
        <f>SUM(BO9:BO48)</f>
        <v>128674208</v>
      </c>
      <c r="BQ49" s="857">
        <f>SUM(BQ9:BQ48)</f>
        <v>3</v>
      </c>
      <c r="BS49" s="858">
        <f>SUM(BS9:BS48)</f>
        <v>535846200</v>
      </c>
      <c r="BT49" s="859"/>
      <c r="BU49" s="860">
        <f>SUM(BU9:BU48)</f>
        <v>128674207.10000001</v>
      </c>
      <c r="BV49" s="861">
        <f t="shared" si="35"/>
        <v>0.89999999105930328</v>
      </c>
      <c r="BW49" s="546"/>
      <c r="BX49" s="862">
        <f>SUM(BX9:BX48)</f>
        <v>87740441</v>
      </c>
      <c r="BY49" s="863">
        <f t="shared" si="37"/>
        <v>1</v>
      </c>
      <c r="BZ49" s="864">
        <f t="shared" si="38"/>
        <v>0.89999999105930328</v>
      </c>
      <c r="CA49" s="865">
        <f>ROUND((BZ49+BU49),0)+2</f>
        <v>128674210</v>
      </c>
      <c r="CB49" s="546"/>
      <c r="CC49" s="866">
        <f>CA49/BS49</f>
        <v>0.24013272838362948</v>
      </c>
      <c r="CD49" s="867"/>
    </row>
    <row r="51" spans="1:82">
      <c r="CD51" s="672"/>
    </row>
    <row r="56" spans="1:82">
      <c r="B56" s="546">
        <v>1</v>
      </c>
      <c r="C56" s="546">
        <f>B56+1</f>
        <v>2</v>
      </c>
      <c r="D56" s="546">
        <f t="shared" ref="D56:BO56" si="44">C56+1</f>
        <v>3</v>
      </c>
      <c r="E56" s="546">
        <f t="shared" si="44"/>
        <v>4</v>
      </c>
      <c r="F56" s="546">
        <f t="shared" si="44"/>
        <v>5</v>
      </c>
      <c r="G56" s="546">
        <f t="shared" si="44"/>
        <v>6</v>
      </c>
      <c r="H56" s="546">
        <f t="shared" si="44"/>
        <v>7</v>
      </c>
      <c r="I56" s="546">
        <f t="shared" si="44"/>
        <v>8</v>
      </c>
      <c r="J56" s="546">
        <f t="shared" si="44"/>
        <v>9</v>
      </c>
      <c r="K56" s="546">
        <f t="shared" si="44"/>
        <v>10</v>
      </c>
      <c r="L56" s="546">
        <f t="shared" si="44"/>
        <v>11</v>
      </c>
      <c r="M56" s="546">
        <f t="shared" si="44"/>
        <v>12</v>
      </c>
      <c r="N56" s="546">
        <f t="shared" si="44"/>
        <v>13</v>
      </c>
      <c r="O56" s="546">
        <f t="shared" si="44"/>
        <v>14</v>
      </c>
      <c r="P56" s="546">
        <f t="shared" si="44"/>
        <v>15</v>
      </c>
      <c r="Q56" s="546">
        <f t="shared" si="44"/>
        <v>16</v>
      </c>
      <c r="R56" s="546">
        <f t="shared" si="44"/>
        <v>17</v>
      </c>
      <c r="S56" s="546">
        <f t="shared" si="44"/>
        <v>18</v>
      </c>
      <c r="T56" s="546">
        <f t="shared" si="44"/>
        <v>19</v>
      </c>
      <c r="U56" s="546">
        <f t="shared" si="44"/>
        <v>20</v>
      </c>
      <c r="V56" s="546">
        <f t="shared" si="44"/>
        <v>21</v>
      </c>
      <c r="W56" s="546">
        <f t="shared" si="44"/>
        <v>22</v>
      </c>
      <c r="X56" s="546">
        <f t="shared" si="44"/>
        <v>23</v>
      </c>
      <c r="Y56" s="546">
        <f t="shared" si="44"/>
        <v>24</v>
      </c>
      <c r="Z56" s="546">
        <f t="shared" si="44"/>
        <v>25</v>
      </c>
      <c r="AA56" s="546">
        <f t="shared" si="44"/>
        <v>26</v>
      </c>
      <c r="AB56" s="546">
        <f t="shared" si="44"/>
        <v>27</v>
      </c>
      <c r="AC56" s="546">
        <f t="shared" si="44"/>
        <v>28</v>
      </c>
      <c r="AD56" s="546">
        <f t="shared" si="44"/>
        <v>29</v>
      </c>
      <c r="AE56" s="546">
        <f t="shared" si="44"/>
        <v>30</v>
      </c>
      <c r="AF56" s="546">
        <f t="shared" si="44"/>
        <v>31</v>
      </c>
      <c r="AG56" s="546">
        <f t="shared" si="44"/>
        <v>32</v>
      </c>
      <c r="AH56" s="546">
        <f t="shared" si="44"/>
        <v>33</v>
      </c>
      <c r="AI56" s="546">
        <f t="shared" si="44"/>
        <v>34</v>
      </c>
      <c r="AJ56" s="546">
        <f t="shared" si="44"/>
        <v>35</v>
      </c>
      <c r="AK56" s="546">
        <f t="shared" si="44"/>
        <v>36</v>
      </c>
      <c r="AL56" s="546">
        <f t="shared" si="44"/>
        <v>37</v>
      </c>
      <c r="AM56" s="546">
        <f t="shared" si="44"/>
        <v>38</v>
      </c>
      <c r="AN56" s="546">
        <f t="shared" si="44"/>
        <v>39</v>
      </c>
      <c r="AO56" s="546">
        <f t="shared" si="44"/>
        <v>40</v>
      </c>
      <c r="AP56" s="546">
        <f t="shared" si="44"/>
        <v>41</v>
      </c>
      <c r="AQ56" s="546">
        <f t="shared" si="44"/>
        <v>42</v>
      </c>
      <c r="AR56" s="546">
        <f t="shared" si="44"/>
        <v>43</v>
      </c>
      <c r="AS56" s="546">
        <f t="shared" si="44"/>
        <v>44</v>
      </c>
      <c r="AT56" s="546">
        <f t="shared" si="44"/>
        <v>45</v>
      </c>
      <c r="AU56" s="546">
        <f t="shared" si="44"/>
        <v>46</v>
      </c>
      <c r="AV56" s="546">
        <f t="shared" si="44"/>
        <v>47</v>
      </c>
      <c r="AW56" s="546">
        <f t="shared" si="44"/>
        <v>48</v>
      </c>
      <c r="AX56" s="546">
        <f t="shared" si="44"/>
        <v>49</v>
      </c>
      <c r="AY56" s="546">
        <f t="shared" si="44"/>
        <v>50</v>
      </c>
      <c r="AZ56" s="546">
        <f t="shared" si="44"/>
        <v>51</v>
      </c>
      <c r="BA56" s="546">
        <f t="shared" si="44"/>
        <v>52</v>
      </c>
      <c r="BB56" s="546">
        <f t="shared" si="44"/>
        <v>53</v>
      </c>
      <c r="BC56" s="546">
        <f t="shared" si="44"/>
        <v>54</v>
      </c>
      <c r="BD56" s="546">
        <f t="shared" si="44"/>
        <v>55</v>
      </c>
      <c r="BE56" s="546">
        <f t="shared" si="44"/>
        <v>56</v>
      </c>
      <c r="BF56" s="546">
        <f t="shared" si="44"/>
        <v>57</v>
      </c>
      <c r="BG56" s="546">
        <f t="shared" si="44"/>
        <v>58</v>
      </c>
      <c r="BH56" s="546">
        <f t="shared" si="44"/>
        <v>59</v>
      </c>
      <c r="BI56" s="546">
        <f t="shared" si="44"/>
        <v>60</v>
      </c>
      <c r="BJ56" s="546">
        <f t="shared" si="44"/>
        <v>61</v>
      </c>
      <c r="BK56" s="546">
        <f t="shared" si="44"/>
        <v>62</v>
      </c>
      <c r="BL56" s="546">
        <f t="shared" si="44"/>
        <v>63</v>
      </c>
      <c r="BM56" s="546">
        <f t="shared" si="44"/>
        <v>64</v>
      </c>
      <c r="BN56" s="546">
        <f t="shared" si="44"/>
        <v>65</v>
      </c>
      <c r="BO56" s="546">
        <f t="shared" si="44"/>
        <v>66</v>
      </c>
      <c r="BP56" s="546">
        <f t="shared" ref="BP56:CA56" si="45">BO56+1</f>
        <v>67</v>
      </c>
      <c r="BQ56" s="546">
        <f t="shared" si="45"/>
        <v>68</v>
      </c>
      <c r="BR56" s="546">
        <f t="shared" si="45"/>
        <v>69</v>
      </c>
      <c r="BS56" s="546">
        <f t="shared" si="45"/>
        <v>70</v>
      </c>
      <c r="BT56" s="546">
        <f t="shared" si="45"/>
        <v>71</v>
      </c>
      <c r="BU56" s="546">
        <f t="shared" si="45"/>
        <v>72</v>
      </c>
      <c r="BV56" s="546">
        <f t="shared" si="45"/>
        <v>73</v>
      </c>
      <c r="BW56" s="546">
        <f t="shared" si="45"/>
        <v>74</v>
      </c>
      <c r="BX56" s="546">
        <f t="shared" si="45"/>
        <v>75</v>
      </c>
      <c r="BY56" s="546">
        <f t="shared" si="45"/>
        <v>76</v>
      </c>
      <c r="BZ56" s="546">
        <f t="shared" si="45"/>
        <v>77</v>
      </c>
      <c r="CA56" s="546">
        <f t="shared" si="45"/>
        <v>78</v>
      </c>
    </row>
  </sheetData>
  <autoFilter ref="A8:CC8" xr:uid="{00000000-0001-0000-0F00-000000000000}"/>
  <mergeCells count="1">
    <mergeCell ref="BX1:CA1"/>
  </mergeCells>
  <conditionalFormatting sqref="BQ49">
    <cfRule type="cellIs" dxfId="0" priority="1" operator="notEqual">
      <formula>0</formula>
    </cfRule>
  </conditionalFormatting>
  <printOptions horizontalCentered="1"/>
  <pageMargins left="0.25" right="0.25" top="0.75" bottom="0.75" header="0.3" footer="0.3"/>
  <pageSetup paperSize="17" scale="18" orientation="landscape" r:id="rId1"/>
  <headerFooter alignWithMargins="0">
    <oddFooter>&amp;L&amp;F&amp;R&amp;D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5452C-DE76-4A03-A2F5-000A2080ACBB}">
  <sheetPr>
    <pageSetUpPr fitToPage="1"/>
  </sheetPr>
  <dimension ref="A1:E41"/>
  <sheetViews>
    <sheetView zoomScaleNormal="100" workbookViewId="0">
      <selection activeCell="F1" sqref="A1:F1048576"/>
    </sheetView>
  </sheetViews>
  <sheetFormatPr defaultColWidth="9.28515625" defaultRowHeight="14.25"/>
  <cols>
    <col min="1" max="1" width="46.7109375" style="23" bestFit="1" customWidth="1"/>
    <col min="2" max="2" width="23.7109375" style="23" bestFit="1" customWidth="1"/>
    <col min="3" max="3" width="19.28515625" style="23" customWidth="1"/>
    <col min="4" max="4" width="12.85546875" style="23" bestFit="1" customWidth="1"/>
    <col min="5" max="5" width="18.28515625" style="23" customWidth="1"/>
    <col min="6" max="16384" width="9.28515625" style="23"/>
  </cols>
  <sheetData>
    <row r="1" spans="1:5">
      <c r="A1" s="214" t="s">
        <v>206</v>
      </c>
      <c r="B1" s="391" t="s">
        <v>368</v>
      </c>
      <c r="C1" s="214" t="s">
        <v>210</v>
      </c>
      <c r="D1" s="214" t="s">
        <v>211</v>
      </c>
      <c r="E1" s="214" t="s">
        <v>212</v>
      </c>
    </row>
    <row r="2" spans="1:5" ht="15">
      <c r="A2" s="208" t="s">
        <v>23</v>
      </c>
      <c r="B2" s="970"/>
      <c r="C2" s="201" t="s">
        <v>219</v>
      </c>
      <c r="D2" s="23">
        <v>1</v>
      </c>
      <c r="E2" s="23">
        <v>1</v>
      </c>
    </row>
    <row r="3" spans="1:5" ht="15">
      <c r="A3" s="208" t="s">
        <v>27</v>
      </c>
      <c r="B3" s="392"/>
      <c r="C3" s="201" t="s">
        <v>219</v>
      </c>
      <c r="D3" s="23">
        <v>2</v>
      </c>
      <c r="E3" s="23">
        <v>5</v>
      </c>
    </row>
    <row r="4" spans="1:5" ht="15">
      <c r="A4" s="208" t="s">
        <v>35</v>
      </c>
      <c r="B4" s="392"/>
      <c r="C4" s="201" t="s">
        <v>219</v>
      </c>
      <c r="D4" s="23">
        <v>3</v>
      </c>
      <c r="E4" s="23">
        <v>13</v>
      </c>
    </row>
    <row r="5" spans="1:5" ht="15">
      <c r="A5" s="208" t="s">
        <v>45</v>
      </c>
      <c r="B5" s="970"/>
      <c r="C5" s="201" t="s">
        <v>219</v>
      </c>
      <c r="D5" s="23">
        <v>4</v>
      </c>
      <c r="E5" s="23">
        <v>23</v>
      </c>
    </row>
    <row r="6" spans="1:5" ht="15">
      <c r="A6" s="208" t="s">
        <v>58</v>
      </c>
      <c r="B6" s="970"/>
      <c r="C6" s="201" t="s">
        <v>219</v>
      </c>
      <c r="D6" s="23">
        <v>5</v>
      </c>
      <c r="E6" s="23">
        <v>36</v>
      </c>
    </row>
    <row r="7" spans="1:5" ht="15">
      <c r="A7" s="208" t="s">
        <v>26</v>
      </c>
      <c r="B7" s="970"/>
      <c r="C7" s="201" t="s">
        <v>220</v>
      </c>
      <c r="D7" s="23">
        <v>6</v>
      </c>
      <c r="E7" s="23">
        <v>4</v>
      </c>
    </row>
    <row r="8" spans="1:5" ht="15">
      <c r="A8" s="208" t="s">
        <v>37</v>
      </c>
      <c r="B8" s="970"/>
      <c r="C8" s="201" t="s">
        <v>221</v>
      </c>
      <c r="D8" s="23">
        <v>7</v>
      </c>
      <c r="E8" s="23">
        <v>15</v>
      </c>
    </row>
    <row r="9" spans="1:5" ht="15">
      <c r="A9" s="208" t="s">
        <v>31</v>
      </c>
      <c r="B9" s="970"/>
      <c r="C9" s="201" t="s">
        <v>222</v>
      </c>
      <c r="D9" s="23">
        <v>8</v>
      </c>
      <c r="E9" s="23">
        <v>9</v>
      </c>
    </row>
    <row r="10" spans="1:5" ht="15">
      <c r="A10" s="208" t="s">
        <v>41</v>
      </c>
      <c r="B10" s="970"/>
      <c r="C10" s="201" t="s">
        <v>222</v>
      </c>
      <c r="D10" s="23">
        <v>9</v>
      </c>
      <c r="E10" s="23">
        <v>19</v>
      </c>
    </row>
    <row r="11" spans="1:5" ht="15">
      <c r="A11" s="208" t="s">
        <v>42</v>
      </c>
      <c r="B11" s="970"/>
      <c r="C11" s="201" t="s">
        <v>222</v>
      </c>
      <c r="D11" s="23">
        <v>10</v>
      </c>
      <c r="E11" s="23">
        <v>20</v>
      </c>
    </row>
    <row r="12" spans="1:5" ht="15">
      <c r="A12" s="208" t="s">
        <v>53</v>
      </c>
      <c r="B12" s="970"/>
      <c r="C12" s="201" t="s">
        <v>222</v>
      </c>
      <c r="D12" s="23">
        <v>11</v>
      </c>
      <c r="E12" s="23">
        <v>31</v>
      </c>
    </row>
    <row r="13" spans="1:5" ht="15">
      <c r="A13" s="208" t="s">
        <v>59</v>
      </c>
      <c r="B13" s="970"/>
      <c r="C13" s="201" t="s">
        <v>222</v>
      </c>
      <c r="D13" s="23">
        <v>12</v>
      </c>
      <c r="E13" s="23">
        <v>37</v>
      </c>
    </row>
    <row r="14" spans="1:5" ht="15">
      <c r="A14" s="208" t="s">
        <v>61</v>
      </c>
      <c r="B14" s="970"/>
      <c r="C14" s="201" t="s">
        <v>222</v>
      </c>
      <c r="D14" s="23">
        <v>13</v>
      </c>
      <c r="E14" s="23">
        <v>39</v>
      </c>
    </row>
    <row r="15" spans="1:5" ht="15">
      <c r="A15" s="208" t="s">
        <v>34</v>
      </c>
      <c r="B15" s="970"/>
      <c r="C15" s="201" t="s">
        <v>223</v>
      </c>
      <c r="D15" s="23">
        <v>14</v>
      </c>
      <c r="E15" s="23">
        <v>12</v>
      </c>
    </row>
    <row r="16" spans="1:5" ht="15">
      <c r="A16" s="208" t="s">
        <v>36</v>
      </c>
      <c r="B16" s="392"/>
      <c r="C16" s="201" t="s">
        <v>223</v>
      </c>
      <c r="D16" s="23">
        <v>15</v>
      </c>
      <c r="E16" s="23">
        <v>14</v>
      </c>
    </row>
    <row r="17" spans="1:5" ht="15">
      <c r="A17" s="208" t="s">
        <v>38</v>
      </c>
      <c r="B17" s="970"/>
      <c r="C17" s="201" t="s">
        <v>223</v>
      </c>
      <c r="D17" s="23">
        <v>16</v>
      </c>
      <c r="E17" s="23">
        <v>16</v>
      </c>
    </row>
    <row r="18" spans="1:5" ht="15">
      <c r="A18" s="208" t="s">
        <v>54</v>
      </c>
      <c r="B18" s="392"/>
      <c r="C18" s="201" t="s">
        <v>223</v>
      </c>
      <c r="D18" s="23">
        <v>17</v>
      </c>
      <c r="E18" s="23">
        <v>32</v>
      </c>
    </row>
    <row r="19" spans="1:5" ht="15">
      <c r="A19" s="208" t="s">
        <v>33</v>
      </c>
      <c r="B19" s="392"/>
      <c r="C19" s="201" t="s">
        <v>224</v>
      </c>
      <c r="D19" s="23">
        <v>18</v>
      </c>
      <c r="E19" s="23">
        <v>11</v>
      </c>
    </row>
    <row r="20" spans="1:5" ht="15">
      <c r="A20" s="208" t="s">
        <v>46</v>
      </c>
      <c r="B20" s="392"/>
      <c r="C20" s="201" t="s">
        <v>224</v>
      </c>
      <c r="D20" s="23">
        <v>19</v>
      </c>
      <c r="E20" s="23">
        <v>24</v>
      </c>
    </row>
    <row r="21" spans="1:5" ht="15">
      <c r="A21" s="208" t="s">
        <v>47</v>
      </c>
      <c r="B21" s="392"/>
      <c r="C21" s="201" t="s">
        <v>224</v>
      </c>
      <c r="D21" s="23">
        <v>20</v>
      </c>
      <c r="E21" s="23">
        <v>25</v>
      </c>
    </row>
    <row r="22" spans="1:5" ht="15">
      <c r="A22" s="208" t="s">
        <v>48</v>
      </c>
      <c r="B22" s="392"/>
      <c r="C22" s="201" t="s">
        <v>224</v>
      </c>
      <c r="D22" s="23">
        <v>21</v>
      </c>
      <c r="E22" s="23">
        <v>26</v>
      </c>
    </row>
    <row r="23" spans="1:5" ht="15">
      <c r="A23" s="208" t="s">
        <v>49</v>
      </c>
      <c r="B23" s="970"/>
      <c r="C23" s="201" t="s">
        <v>224</v>
      </c>
      <c r="D23" s="23">
        <v>22</v>
      </c>
      <c r="E23" s="23">
        <v>27</v>
      </c>
    </row>
    <row r="24" spans="1:5" ht="15">
      <c r="A24" s="208" t="s">
        <v>50</v>
      </c>
      <c r="B24" s="970"/>
      <c r="C24" s="201" t="s">
        <v>224</v>
      </c>
      <c r="D24" s="23">
        <v>23</v>
      </c>
      <c r="E24" s="23">
        <v>28</v>
      </c>
    </row>
    <row r="25" spans="1:5" ht="15">
      <c r="A25" s="208" t="s">
        <v>29</v>
      </c>
      <c r="B25" s="392"/>
      <c r="C25" s="201" t="s">
        <v>225</v>
      </c>
      <c r="D25" s="23">
        <v>24</v>
      </c>
      <c r="E25" s="23">
        <v>7</v>
      </c>
    </row>
    <row r="26" spans="1:5" ht="15">
      <c r="A26" s="208" t="s">
        <v>39</v>
      </c>
      <c r="B26" s="970"/>
      <c r="C26" s="201" t="s">
        <v>225</v>
      </c>
      <c r="D26" s="23">
        <v>25</v>
      </c>
      <c r="E26" s="23">
        <v>17</v>
      </c>
    </row>
    <row r="27" spans="1:5" ht="15">
      <c r="A27" s="208" t="s">
        <v>55</v>
      </c>
      <c r="B27" s="970"/>
      <c r="C27" s="201" t="s">
        <v>226</v>
      </c>
      <c r="D27" s="23">
        <v>26</v>
      </c>
      <c r="E27" s="23">
        <v>33</v>
      </c>
    </row>
    <row r="28" spans="1:5" ht="15">
      <c r="A28" s="208" t="s">
        <v>56</v>
      </c>
      <c r="B28" s="970"/>
      <c r="C28" s="201" t="s">
        <v>226</v>
      </c>
      <c r="D28" s="23">
        <v>27</v>
      </c>
      <c r="E28" s="23">
        <v>34</v>
      </c>
    </row>
    <row r="29" spans="1:5" ht="15">
      <c r="A29" s="208" t="s">
        <v>30</v>
      </c>
      <c r="B29" s="970"/>
      <c r="C29" s="201" t="s">
        <v>226</v>
      </c>
      <c r="D29" s="23">
        <v>28</v>
      </c>
      <c r="E29" s="23">
        <v>8</v>
      </c>
    </row>
    <row r="30" spans="1:5" ht="15">
      <c r="A30" s="208" t="s">
        <v>40</v>
      </c>
      <c r="B30" s="970"/>
      <c r="C30" s="201" t="s">
        <v>226</v>
      </c>
      <c r="D30" s="23">
        <v>29</v>
      </c>
      <c r="E30" s="23">
        <v>18</v>
      </c>
    </row>
    <row r="31" spans="1:5" ht="15">
      <c r="A31" s="208" t="s">
        <v>51</v>
      </c>
      <c r="B31" s="392"/>
      <c r="C31" s="201" t="s">
        <v>226</v>
      </c>
      <c r="D31" s="23">
        <v>30</v>
      </c>
      <c r="E31" s="23">
        <v>29</v>
      </c>
    </row>
    <row r="32" spans="1:5" ht="15">
      <c r="A32" s="208" t="s">
        <v>25</v>
      </c>
      <c r="B32" s="970"/>
      <c r="C32" s="201" t="s">
        <v>227</v>
      </c>
      <c r="D32" s="23">
        <v>31</v>
      </c>
      <c r="E32" s="23">
        <v>3</v>
      </c>
    </row>
    <row r="33" spans="1:5" ht="15">
      <c r="A33" s="208" t="s">
        <v>28</v>
      </c>
      <c r="B33" s="970"/>
      <c r="C33" s="201" t="s">
        <v>227</v>
      </c>
      <c r="D33" s="23">
        <v>32</v>
      </c>
      <c r="E33" s="23">
        <v>6</v>
      </c>
    </row>
    <row r="34" spans="1:5" ht="15">
      <c r="A34" s="208" t="s">
        <v>32</v>
      </c>
      <c r="B34" s="970"/>
      <c r="C34" s="201" t="s">
        <v>227</v>
      </c>
      <c r="D34" s="23">
        <v>33</v>
      </c>
      <c r="E34" s="23">
        <v>10</v>
      </c>
    </row>
    <row r="35" spans="1:5" ht="15">
      <c r="A35" s="208" t="s">
        <v>24</v>
      </c>
      <c r="B35" s="970"/>
      <c r="C35" s="201" t="s">
        <v>228</v>
      </c>
      <c r="D35" s="23">
        <v>34</v>
      </c>
      <c r="E35" s="23">
        <v>2</v>
      </c>
    </row>
    <row r="36" spans="1:5" ht="15">
      <c r="A36" s="208" t="s">
        <v>57</v>
      </c>
      <c r="B36" s="392"/>
      <c r="C36" s="201" t="s">
        <v>228</v>
      </c>
      <c r="D36" s="23">
        <v>35</v>
      </c>
      <c r="E36" s="23">
        <v>35</v>
      </c>
    </row>
    <row r="37" spans="1:5" ht="15">
      <c r="A37" s="208" t="s">
        <v>43</v>
      </c>
      <c r="B37" s="970"/>
      <c r="C37" s="201" t="s">
        <v>228</v>
      </c>
      <c r="D37" s="23">
        <v>36</v>
      </c>
      <c r="E37" s="23">
        <v>21</v>
      </c>
    </row>
    <row r="38" spans="1:5" ht="15">
      <c r="A38" s="208" t="s">
        <v>44</v>
      </c>
      <c r="B38" s="970"/>
      <c r="C38" s="201" t="s">
        <v>228</v>
      </c>
      <c r="D38" s="23">
        <v>37</v>
      </c>
      <c r="E38" s="23">
        <v>22</v>
      </c>
    </row>
    <row r="39" spans="1:5" ht="15">
      <c r="A39" s="208" t="s">
        <v>52</v>
      </c>
      <c r="B39" s="392"/>
      <c r="C39" s="201" t="s">
        <v>228</v>
      </c>
      <c r="D39" s="23">
        <v>38</v>
      </c>
      <c r="E39" s="23">
        <v>30</v>
      </c>
    </row>
    <row r="40" spans="1:5" ht="15">
      <c r="A40" s="208" t="s">
        <v>60</v>
      </c>
      <c r="B40" s="970"/>
      <c r="C40" s="201" t="s">
        <v>228</v>
      </c>
      <c r="D40" s="23">
        <v>39</v>
      </c>
      <c r="E40" s="23">
        <v>38</v>
      </c>
    </row>
    <row r="41" spans="1:5">
      <c r="A41" s="208" t="s">
        <v>229</v>
      </c>
      <c r="B41" s="393">
        <f>SUM(B2:B40)</f>
        <v>0</v>
      </c>
      <c r="C41" s="208"/>
      <c r="D41" s="26" t="s">
        <v>173</v>
      </c>
      <c r="E41" s="26" t="s">
        <v>173</v>
      </c>
    </row>
  </sheetData>
  <sheetProtection sheet="1" objects="1" scenarios="1"/>
  <pageMargins left="0.25" right="0.25" top="0.75" bottom="0.75" header="0.3" footer="0.3"/>
  <pageSetup scale="30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61C2-A960-475D-931F-CC73CFE05DF3}">
  <sheetPr>
    <tabColor rgb="FF92D050"/>
    <pageSetUpPr fitToPage="1"/>
  </sheetPr>
  <dimension ref="A1:I47"/>
  <sheetViews>
    <sheetView showGridLines="0" workbookViewId="0">
      <pane xSplit="1" ySplit="2" topLeftCell="D3" activePane="bottomRight" state="frozen"/>
      <selection pane="topRight" activeCell="F1" sqref="A1:F1048576"/>
      <selection pane="bottomLeft" activeCell="F1" sqref="A1:F1048576"/>
      <selection pane="bottomRight" activeCell="F1" sqref="A1:F1048576"/>
    </sheetView>
  </sheetViews>
  <sheetFormatPr defaultColWidth="8.85546875" defaultRowHeight="15"/>
  <cols>
    <col min="1" max="1" width="46.7109375" style="251" bestFit="1" customWidth="1"/>
    <col min="2" max="3" width="16.7109375" style="404" hidden="1" customWidth="1"/>
    <col min="4" max="4" width="16.7109375" style="404" customWidth="1"/>
    <col min="5" max="5" width="16.28515625" style="251" customWidth="1"/>
    <col min="6" max="6" width="8.85546875" style="251"/>
    <col min="7" max="7" width="12.42578125" style="251" customWidth="1"/>
    <col min="8" max="8" width="16.28515625" style="251" bestFit="1" customWidth="1"/>
    <col min="9" max="16384" width="8.85546875" style="251"/>
  </cols>
  <sheetData>
    <row r="1" spans="1:9">
      <c r="B1" s="394">
        <v>2016</v>
      </c>
      <c r="C1" s="394">
        <v>2017</v>
      </c>
      <c r="D1" s="394">
        <v>2025</v>
      </c>
      <c r="E1" s="251" t="s">
        <v>369</v>
      </c>
    </row>
    <row r="2" spans="1:9" ht="42.75" customHeight="1">
      <c r="A2" s="395" t="s">
        <v>206</v>
      </c>
      <c r="B2" s="396" t="s">
        <v>370</v>
      </c>
      <c r="C2" s="396" t="s">
        <v>370</v>
      </c>
      <c r="D2" s="396" t="s">
        <v>370</v>
      </c>
      <c r="H2" s="394">
        <v>2024</v>
      </c>
      <c r="I2" s="251" t="s">
        <v>371</v>
      </c>
    </row>
    <row r="3" spans="1:9">
      <c r="A3" s="397" t="s">
        <v>23</v>
      </c>
      <c r="B3" s="971">
        <v>1594905</v>
      </c>
      <c r="C3" s="972">
        <v>1576836</v>
      </c>
      <c r="D3" s="252">
        <v>2524115</v>
      </c>
      <c r="E3" s="398" t="s">
        <v>219</v>
      </c>
      <c r="H3" s="399">
        <v>2553471</v>
      </c>
    </row>
    <row r="4" spans="1:9">
      <c r="A4" s="397" t="s">
        <v>27</v>
      </c>
      <c r="B4" s="971">
        <v>366709</v>
      </c>
      <c r="C4" s="972">
        <v>463293</v>
      </c>
      <c r="D4" s="252">
        <v>420188</v>
      </c>
      <c r="E4" s="398" t="s">
        <v>219</v>
      </c>
      <c r="H4" s="399">
        <v>361548</v>
      </c>
    </row>
    <row r="5" spans="1:9">
      <c r="A5" s="397" t="s">
        <v>35</v>
      </c>
      <c r="B5" s="971">
        <v>1944651</v>
      </c>
      <c r="C5" s="972">
        <v>2016780</v>
      </c>
      <c r="D5" s="252">
        <f>2593221+472118</f>
        <v>3065339</v>
      </c>
      <c r="E5" s="398" t="s">
        <v>219</v>
      </c>
      <c r="H5" s="399">
        <v>2998198</v>
      </c>
    </row>
    <row r="6" spans="1:9">
      <c r="A6" s="397" t="s">
        <v>45</v>
      </c>
      <c r="B6" s="973">
        <v>1636129</v>
      </c>
      <c r="C6" s="972">
        <v>1738210</v>
      </c>
      <c r="D6" s="252">
        <v>2152505</v>
      </c>
      <c r="E6" s="398" t="s">
        <v>219</v>
      </c>
      <c r="H6" s="399">
        <v>2155919</v>
      </c>
    </row>
    <row r="7" spans="1:9">
      <c r="A7" s="397" t="s">
        <v>58</v>
      </c>
      <c r="B7" s="971">
        <v>329146</v>
      </c>
      <c r="C7" s="972">
        <v>322254</v>
      </c>
      <c r="D7" s="252">
        <v>458740</v>
      </c>
      <c r="E7" s="398" t="s">
        <v>219</v>
      </c>
      <c r="H7" s="399">
        <v>447645</v>
      </c>
    </row>
    <row r="8" spans="1:9">
      <c r="A8" s="397" t="s">
        <v>26</v>
      </c>
      <c r="B8" s="971">
        <v>7205873</v>
      </c>
      <c r="C8" s="972">
        <v>7933572</v>
      </c>
      <c r="D8" s="252">
        <v>19397700</v>
      </c>
      <c r="E8" s="398" t="s">
        <v>220</v>
      </c>
      <c r="H8" s="399">
        <v>14481448</v>
      </c>
    </row>
    <row r="9" spans="1:9">
      <c r="A9" s="397" t="s">
        <v>342</v>
      </c>
      <c r="B9" s="971">
        <v>3598701</v>
      </c>
      <c r="C9" s="972">
        <v>3825222</v>
      </c>
      <c r="D9" s="252">
        <v>5394452</v>
      </c>
      <c r="E9" s="398" t="s">
        <v>221</v>
      </c>
      <c r="F9" s="251" t="s">
        <v>372</v>
      </c>
      <c r="H9" s="399">
        <v>5267046</v>
      </c>
    </row>
    <row r="10" spans="1:9">
      <c r="A10" s="397" t="s">
        <v>31</v>
      </c>
      <c r="B10" s="971">
        <v>960983</v>
      </c>
      <c r="C10" s="972">
        <v>988336</v>
      </c>
      <c r="D10" s="252">
        <v>2252994</v>
      </c>
      <c r="E10" s="398" t="s">
        <v>222</v>
      </c>
      <c r="H10" s="399">
        <v>2126888</v>
      </c>
    </row>
    <row r="11" spans="1:9">
      <c r="A11" s="397" t="s">
        <v>41</v>
      </c>
      <c r="B11" s="400"/>
      <c r="C11" s="401"/>
      <c r="D11" s="252">
        <v>214513</v>
      </c>
      <c r="E11" s="398" t="s">
        <v>222</v>
      </c>
      <c r="H11" s="399">
        <v>225862</v>
      </c>
    </row>
    <row r="12" spans="1:9">
      <c r="A12" s="397" t="s">
        <v>42</v>
      </c>
      <c r="B12" s="974">
        <v>98697464</v>
      </c>
      <c r="C12" s="972">
        <v>98592812</v>
      </c>
      <c r="D12" s="252">
        <v>153334791</v>
      </c>
      <c r="E12" s="398" t="s">
        <v>222</v>
      </c>
      <c r="H12" s="399">
        <v>129442718</v>
      </c>
    </row>
    <row r="13" spans="1:9">
      <c r="A13" s="397" t="s">
        <v>53</v>
      </c>
      <c r="B13" s="974">
        <v>675240</v>
      </c>
      <c r="C13" s="972">
        <v>739155</v>
      </c>
      <c r="D13" s="252">
        <v>1551122</v>
      </c>
      <c r="E13" s="398" t="s">
        <v>222</v>
      </c>
      <c r="H13" s="399">
        <v>1347743</v>
      </c>
    </row>
    <row r="14" spans="1:9">
      <c r="A14" s="397" t="s">
        <v>59</v>
      </c>
      <c r="B14" s="971">
        <v>80150</v>
      </c>
      <c r="C14" s="972">
        <v>80836</v>
      </c>
      <c r="D14" s="252">
        <v>83950</v>
      </c>
      <c r="E14" s="398" t="s">
        <v>222</v>
      </c>
      <c r="H14" s="399">
        <v>71294</v>
      </c>
    </row>
    <row r="15" spans="1:9">
      <c r="A15" s="397" t="s">
        <v>61</v>
      </c>
      <c r="B15" s="974">
        <v>6855143</v>
      </c>
      <c r="C15" s="972">
        <v>7254202</v>
      </c>
      <c r="D15" s="252">
        <v>8890738</v>
      </c>
      <c r="E15" s="398" t="s">
        <v>222</v>
      </c>
      <c r="H15" s="399">
        <v>7769877</v>
      </c>
    </row>
    <row r="16" spans="1:9">
      <c r="A16" s="397" t="s">
        <v>34</v>
      </c>
      <c r="B16" s="971">
        <v>1862912</v>
      </c>
      <c r="C16" s="972">
        <v>2450768</v>
      </c>
      <c r="D16" s="252">
        <v>4097893</v>
      </c>
      <c r="E16" s="398" t="s">
        <v>223</v>
      </c>
      <c r="H16" s="399">
        <v>4067447</v>
      </c>
    </row>
    <row r="17" spans="1:9">
      <c r="A17" s="397" t="s">
        <v>36</v>
      </c>
      <c r="B17" s="971">
        <v>635069</v>
      </c>
      <c r="C17" s="972">
        <v>693389</v>
      </c>
      <c r="D17" s="252">
        <v>749264</v>
      </c>
      <c r="E17" s="398" t="s">
        <v>223</v>
      </c>
      <c r="H17" s="399">
        <v>698366</v>
      </c>
    </row>
    <row r="18" spans="1:9">
      <c r="A18" s="397" t="s">
        <v>38</v>
      </c>
      <c r="B18" s="971">
        <v>7401176</v>
      </c>
      <c r="C18" s="972">
        <v>8034835</v>
      </c>
      <c r="D18" s="252">
        <v>9104264</v>
      </c>
      <c r="E18" s="398" t="s">
        <v>223</v>
      </c>
      <c r="H18" s="399">
        <v>9003000</v>
      </c>
    </row>
    <row r="19" spans="1:9">
      <c r="A19" s="397" t="s">
        <v>54</v>
      </c>
      <c r="B19" s="971">
        <v>84690</v>
      </c>
      <c r="C19" s="972">
        <v>86294</v>
      </c>
      <c r="D19" s="252">
        <v>176795</v>
      </c>
      <c r="E19" s="398" t="s">
        <v>223</v>
      </c>
      <c r="H19" s="399">
        <v>165710</v>
      </c>
    </row>
    <row r="20" spans="1:9">
      <c r="A20" s="397" t="s">
        <v>366</v>
      </c>
      <c r="B20" s="973">
        <v>16435804</v>
      </c>
      <c r="C20" s="972">
        <v>17554554</v>
      </c>
      <c r="D20" s="252">
        <v>27572539</v>
      </c>
      <c r="E20" s="398" t="s">
        <v>224</v>
      </c>
      <c r="H20" s="399">
        <v>25291520</v>
      </c>
    </row>
    <row r="21" spans="1:9">
      <c r="A21" s="397" t="s">
        <v>46</v>
      </c>
      <c r="B21" s="971">
        <v>13250889</v>
      </c>
      <c r="C21" s="972">
        <v>16303813</v>
      </c>
      <c r="D21" s="252">
        <v>27825334</v>
      </c>
      <c r="E21" s="398" t="s">
        <v>224</v>
      </c>
      <c r="H21" s="399">
        <v>28281032</v>
      </c>
    </row>
    <row r="22" spans="1:9">
      <c r="A22" s="397" t="s">
        <v>47</v>
      </c>
      <c r="B22" s="971">
        <v>16860714</v>
      </c>
      <c r="C22" s="972">
        <v>17454401</v>
      </c>
      <c r="D22" s="252">
        <v>31465620</v>
      </c>
      <c r="E22" s="398" t="s">
        <v>224</v>
      </c>
      <c r="H22" s="399">
        <v>36047232</v>
      </c>
    </row>
    <row r="23" spans="1:9">
      <c r="A23" s="397" t="s">
        <v>48</v>
      </c>
      <c r="B23" s="971">
        <v>3798321</v>
      </c>
      <c r="C23" s="972">
        <v>3941598</v>
      </c>
      <c r="D23" s="252">
        <v>5702607</v>
      </c>
      <c r="E23" s="398" t="s">
        <v>224</v>
      </c>
      <c r="H23" s="399">
        <v>5453602</v>
      </c>
    </row>
    <row r="24" spans="1:9">
      <c r="A24" s="397" t="s">
        <v>49</v>
      </c>
      <c r="B24" s="971">
        <v>81796837</v>
      </c>
      <c r="C24" s="402">
        <v>80381389</v>
      </c>
      <c r="D24" s="252">
        <v>135419722</v>
      </c>
      <c r="E24" s="398" t="s">
        <v>224</v>
      </c>
      <c r="H24" s="399">
        <v>111168383</v>
      </c>
    </row>
    <row r="25" spans="1:9">
      <c r="A25" s="397" t="s">
        <v>50</v>
      </c>
      <c r="B25" s="974">
        <v>31551969</v>
      </c>
      <c r="C25" s="972">
        <v>29774166</v>
      </c>
      <c r="D25" s="252">
        <v>56380235</v>
      </c>
      <c r="E25" s="398" t="s">
        <v>224</v>
      </c>
      <c r="H25" s="399">
        <v>49463221</v>
      </c>
    </row>
    <row r="26" spans="1:9">
      <c r="A26" s="397" t="s">
        <v>29</v>
      </c>
      <c r="B26" s="971">
        <v>3350543</v>
      </c>
      <c r="C26" s="972">
        <v>3250236</v>
      </c>
      <c r="D26" s="252">
        <v>5582819</v>
      </c>
      <c r="E26" s="398" t="s">
        <v>225</v>
      </c>
      <c r="H26" s="399">
        <v>3929042</v>
      </c>
    </row>
    <row r="27" spans="1:9">
      <c r="A27" s="397" t="s">
        <v>39</v>
      </c>
      <c r="B27" s="971">
        <v>44774489</v>
      </c>
      <c r="C27" s="972">
        <v>45392744</v>
      </c>
      <c r="D27" s="252">
        <v>83270105</v>
      </c>
      <c r="E27" s="398" t="s">
        <v>225</v>
      </c>
      <c r="H27" s="399">
        <v>76532753</v>
      </c>
    </row>
    <row r="28" spans="1:9">
      <c r="A28" s="397" t="s">
        <v>343</v>
      </c>
      <c r="B28" s="971">
        <v>7305764</v>
      </c>
      <c r="C28" s="972">
        <v>8606062</v>
      </c>
      <c r="D28" s="252">
        <v>14038846</v>
      </c>
      <c r="E28" s="398" t="s">
        <v>226</v>
      </c>
      <c r="H28" s="399">
        <v>12808994</v>
      </c>
    </row>
    <row r="29" spans="1:9">
      <c r="A29" s="397" t="s">
        <v>30</v>
      </c>
      <c r="B29" s="971">
        <v>1507105</v>
      </c>
      <c r="C29" s="972">
        <v>1521963</v>
      </c>
      <c r="D29" s="252">
        <v>2810399</v>
      </c>
      <c r="E29" s="398" t="s">
        <v>226</v>
      </c>
      <c r="H29" s="399">
        <v>2846110</v>
      </c>
    </row>
    <row r="30" spans="1:9">
      <c r="A30" s="397" t="s">
        <v>373</v>
      </c>
      <c r="B30" s="971">
        <v>1507105</v>
      </c>
      <c r="C30" s="972">
        <v>1521963</v>
      </c>
      <c r="D30" s="253">
        <v>0</v>
      </c>
      <c r="E30" s="398" t="s">
        <v>226</v>
      </c>
      <c r="H30" s="399">
        <v>0</v>
      </c>
      <c r="I30" s="251" t="s">
        <v>374</v>
      </c>
    </row>
    <row r="31" spans="1:9">
      <c r="A31" s="397" t="s">
        <v>40</v>
      </c>
      <c r="B31" s="971">
        <v>9018028</v>
      </c>
      <c r="C31" s="972">
        <v>9018159</v>
      </c>
      <c r="D31" s="252">
        <v>11966953</v>
      </c>
      <c r="E31" s="398" t="s">
        <v>226</v>
      </c>
      <c r="H31" s="399">
        <v>14322731</v>
      </c>
      <c r="I31" s="251" t="s">
        <v>375</v>
      </c>
    </row>
    <row r="32" spans="1:9">
      <c r="A32" s="397" t="s">
        <v>51</v>
      </c>
      <c r="B32" s="973">
        <v>623850</v>
      </c>
      <c r="C32" s="972">
        <v>711690</v>
      </c>
      <c r="D32" s="252">
        <v>872107</v>
      </c>
      <c r="E32" s="398" t="s">
        <v>226</v>
      </c>
      <c r="H32" s="399">
        <v>744369</v>
      </c>
    </row>
    <row r="33" spans="1:9">
      <c r="A33" s="397" t="s">
        <v>55</v>
      </c>
      <c r="B33" s="973">
        <v>623850</v>
      </c>
      <c r="C33" s="972">
        <v>711690</v>
      </c>
      <c r="D33" s="252">
        <v>174101</v>
      </c>
      <c r="E33" s="398" t="s">
        <v>226</v>
      </c>
      <c r="H33" s="399">
        <v>0</v>
      </c>
    </row>
    <row r="34" spans="1:9">
      <c r="A34" s="397" t="s">
        <v>25</v>
      </c>
      <c r="B34" s="971">
        <v>1829182</v>
      </c>
      <c r="C34" s="972">
        <v>2253148</v>
      </c>
      <c r="D34" s="252">
        <f>1382044+1940205</f>
        <v>3322249</v>
      </c>
      <c r="E34" s="398" t="s">
        <v>227</v>
      </c>
      <c r="H34" s="399">
        <v>3366722</v>
      </c>
    </row>
    <row r="35" spans="1:9">
      <c r="A35" s="397" t="s">
        <v>28</v>
      </c>
      <c r="B35" s="971">
        <v>4459063</v>
      </c>
      <c r="C35" s="972">
        <v>4515327</v>
      </c>
      <c r="D35" s="252">
        <v>7574503</v>
      </c>
      <c r="E35" s="398" t="s">
        <v>227</v>
      </c>
      <c r="H35" s="399">
        <v>7435602</v>
      </c>
    </row>
    <row r="36" spans="1:9">
      <c r="A36" s="397" t="s">
        <v>32</v>
      </c>
      <c r="B36" s="971">
        <v>1039146</v>
      </c>
      <c r="C36" s="972">
        <v>966687</v>
      </c>
      <c r="D36" s="252">
        <v>2625519</v>
      </c>
      <c r="E36" s="398" t="s">
        <v>227</v>
      </c>
      <c r="H36" s="399">
        <v>2380653</v>
      </c>
    </row>
    <row r="37" spans="1:9">
      <c r="A37" s="397" t="s">
        <v>24</v>
      </c>
      <c r="B37" s="971">
        <v>3099046</v>
      </c>
      <c r="C37" s="972">
        <v>3502623</v>
      </c>
      <c r="D37" s="252">
        <v>5545950</v>
      </c>
      <c r="E37" s="398" t="s">
        <v>228</v>
      </c>
      <c r="H37" s="399">
        <v>5803873</v>
      </c>
    </row>
    <row r="38" spans="1:9">
      <c r="A38" s="397" t="s">
        <v>344</v>
      </c>
      <c r="B38" s="971">
        <v>351579</v>
      </c>
      <c r="C38" s="972">
        <v>339906</v>
      </c>
      <c r="D38" s="252">
        <v>537911</v>
      </c>
      <c r="E38" s="398" t="s">
        <v>228</v>
      </c>
      <c r="H38" s="399">
        <v>604843</v>
      </c>
    </row>
    <row r="39" spans="1:9">
      <c r="A39" s="397" t="s">
        <v>345</v>
      </c>
      <c r="B39" s="974">
        <v>5336913</v>
      </c>
      <c r="C39" s="972">
        <v>5862562</v>
      </c>
      <c r="D39" s="252">
        <v>5142066</v>
      </c>
      <c r="E39" s="398" t="s">
        <v>228</v>
      </c>
      <c r="H39" s="399">
        <v>5022923</v>
      </c>
    </row>
    <row r="40" spans="1:9">
      <c r="A40" s="397" t="s">
        <v>346</v>
      </c>
      <c r="B40" s="973">
        <v>132999</v>
      </c>
      <c r="C40" s="972">
        <v>125760</v>
      </c>
      <c r="D40" s="252">
        <v>705021</v>
      </c>
      <c r="E40" s="398" t="s">
        <v>228</v>
      </c>
      <c r="H40" s="399">
        <v>457239</v>
      </c>
      <c r="I40" s="251" t="s">
        <v>376</v>
      </c>
    </row>
    <row r="41" spans="1:9">
      <c r="A41" s="397" t="s">
        <v>347</v>
      </c>
      <c r="B41" s="973">
        <v>1661264</v>
      </c>
      <c r="C41" s="972">
        <v>1659449</v>
      </c>
      <c r="D41" s="252">
        <v>1208220</v>
      </c>
      <c r="E41" s="398" t="s">
        <v>228</v>
      </c>
      <c r="H41" s="399">
        <v>1220651</v>
      </c>
    </row>
    <row r="42" spans="1:9">
      <c r="A42" s="395" t="s">
        <v>348</v>
      </c>
      <c r="B42" s="971">
        <v>2954504</v>
      </c>
      <c r="C42" s="972">
        <v>2637434</v>
      </c>
      <c r="D42" s="252">
        <v>5119725</v>
      </c>
      <c r="E42" s="398" t="s">
        <v>228</v>
      </c>
      <c r="H42" s="399">
        <v>4896193</v>
      </c>
    </row>
    <row r="43" spans="1:9">
      <c r="A43" s="397" t="s">
        <v>229</v>
      </c>
      <c r="B43" s="971">
        <f>SUM(B3:B42)</f>
        <v>387197905</v>
      </c>
      <c r="C43" s="972">
        <f>SUM(C3:C42)</f>
        <v>394804118</v>
      </c>
      <c r="D43" s="254">
        <f>SUM(D3:D42)</f>
        <v>648731914</v>
      </c>
      <c r="H43" s="399">
        <f>SUM(H3:H42)</f>
        <v>581261868</v>
      </c>
    </row>
    <row r="44" spans="1:9">
      <c r="B44" s="403"/>
      <c r="C44" s="403"/>
    </row>
    <row r="46" spans="1:9">
      <c r="A46" s="405"/>
      <c r="D46" s="406" t="s">
        <v>377</v>
      </c>
    </row>
    <row r="47" spans="1:9">
      <c r="A47" s="407"/>
      <c r="B47" s="251" t="s">
        <v>378</v>
      </c>
      <c r="D47" s="251" t="s">
        <v>379</v>
      </c>
    </row>
  </sheetData>
  <sheetProtection sheet="1" objects="1" scenarios="1"/>
  <pageMargins left="0.25" right="0.25" top="0.75" bottom="0.75" header="0.3" footer="0.3"/>
  <pageSetup scale="4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A49F8-D511-4F68-B86A-06072A09F969}">
  <dimension ref="A2:D40"/>
  <sheetViews>
    <sheetView workbookViewId="0">
      <selection activeCell="F1" sqref="A1:F1048576"/>
    </sheetView>
  </sheetViews>
  <sheetFormatPr defaultRowHeight="12.75"/>
  <cols>
    <col min="1" max="1" width="20.7109375" customWidth="1"/>
    <col min="2" max="2" width="49.5703125" bestFit="1" customWidth="1"/>
    <col min="3" max="3" width="13.42578125" customWidth="1"/>
    <col min="4" max="4" width="20.42578125" customWidth="1"/>
  </cols>
  <sheetData>
    <row r="2" spans="1:4" ht="13.15" customHeight="1">
      <c r="A2" s="197" t="s">
        <v>210</v>
      </c>
      <c r="B2" s="198" t="s">
        <v>258</v>
      </c>
      <c r="C2" s="198" t="s">
        <v>211</v>
      </c>
      <c r="D2" s="198" t="s">
        <v>212</v>
      </c>
    </row>
    <row r="3" spans="1:4" ht="14.25">
      <c r="A3" s="199" t="s">
        <v>219</v>
      </c>
      <c r="B3" s="27" t="s">
        <v>23</v>
      </c>
      <c r="C3">
        <v>1</v>
      </c>
      <c r="D3">
        <v>1</v>
      </c>
    </row>
    <row r="4" spans="1:4" ht="14.25">
      <c r="A4" s="199" t="s">
        <v>219</v>
      </c>
      <c r="B4" s="27" t="s">
        <v>27</v>
      </c>
      <c r="C4">
        <v>2</v>
      </c>
      <c r="D4">
        <v>7</v>
      </c>
    </row>
    <row r="5" spans="1:4" ht="14.25">
      <c r="A5" s="199" t="s">
        <v>219</v>
      </c>
      <c r="B5" s="27" t="s">
        <v>35</v>
      </c>
      <c r="C5">
        <v>3</v>
      </c>
      <c r="D5">
        <v>14</v>
      </c>
    </row>
    <row r="6" spans="1:4" ht="14.25">
      <c r="A6" s="199" t="s">
        <v>219</v>
      </c>
      <c r="B6" s="27" t="s">
        <v>45</v>
      </c>
      <c r="C6">
        <v>4</v>
      </c>
      <c r="D6">
        <v>25</v>
      </c>
    </row>
    <row r="7" spans="1:4" ht="14.25">
      <c r="A7" s="199" t="s">
        <v>219</v>
      </c>
      <c r="B7" s="27" t="s">
        <v>58</v>
      </c>
      <c r="C7">
        <v>5</v>
      </c>
      <c r="D7">
        <v>35</v>
      </c>
    </row>
    <row r="8" spans="1:4" ht="14.25">
      <c r="A8" s="199" t="s">
        <v>220</v>
      </c>
      <c r="B8" s="27" t="s">
        <v>26</v>
      </c>
      <c r="C8">
        <v>6</v>
      </c>
      <c r="D8">
        <v>6</v>
      </c>
    </row>
    <row r="9" spans="1:4" ht="14.25">
      <c r="A9" s="199" t="s">
        <v>221</v>
      </c>
      <c r="B9" s="27" t="s">
        <v>342</v>
      </c>
      <c r="C9">
        <v>7</v>
      </c>
      <c r="D9">
        <v>16</v>
      </c>
    </row>
    <row r="10" spans="1:4" ht="14.25">
      <c r="A10" s="199" t="s">
        <v>222</v>
      </c>
      <c r="B10" s="27" t="s">
        <v>31</v>
      </c>
      <c r="C10">
        <v>8</v>
      </c>
      <c r="D10">
        <v>11</v>
      </c>
    </row>
    <row r="11" spans="1:4" ht="14.25">
      <c r="A11" s="199" t="s">
        <v>222</v>
      </c>
      <c r="B11" s="27" t="s">
        <v>41</v>
      </c>
      <c r="C11">
        <v>9</v>
      </c>
      <c r="D11">
        <v>20</v>
      </c>
    </row>
    <row r="12" spans="1:4" ht="14.25">
      <c r="A12" s="199" t="s">
        <v>222</v>
      </c>
      <c r="B12" s="27" t="s">
        <v>42</v>
      </c>
      <c r="C12">
        <v>10</v>
      </c>
      <c r="D12">
        <v>21</v>
      </c>
    </row>
    <row r="13" spans="1:4" ht="14.25">
      <c r="A13" s="199" t="s">
        <v>222</v>
      </c>
      <c r="B13" s="27" t="s">
        <v>53</v>
      </c>
      <c r="C13">
        <v>11</v>
      </c>
      <c r="D13">
        <v>33</v>
      </c>
    </row>
    <row r="14" spans="1:4" ht="14.25">
      <c r="A14" s="199" t="s">
        <v>222</v>
      </c>
      <c r="B14" s="27" t="s">
        <v>59</v>
      </c>
      <c r="C14">
        <v>12</v>
      </c>
      <c r="D14">
        <v>36</v>
      </c>
    </row>
    <row r="15" spans="1:4" ht="14.25">
      <c r="A15" s="199" t="s">
        <v>222</v>
      </c>
      <c r="B15" s="27" t="s">
        <v>61</v>
      </c>
      <c r="C15">
        <v>13</v>
      </c>
      <c r="D15">
        <v>38</v>
      </c>
    </row>
    <row r="16" spans="1:4" ht="14.25">
      <c r="A16" s="199" t="s">
        <v>223</v>
      </c>
      <c r="B16" s="27" t="s">
        <v>34</v>
      </c>
      <c r="C16">
        <v>14</v>
      </c>
      <c r="D16">
        <v>13</v>
      </c>
    </row>
    <row r="17" spans="1:4" ht="14.25">
      <c r="A17" s="199" t="s">
        <v>223</v>
      </c>
      <c r="B17" s="27" t="s">
        <v>36</v>
      </c>
      <c r="C17">
        <v>15</v>
      </c>
      <c r="D17">
        <v>15</v>
      </c>
    </row>
    <row r="18" spans="1:4" ht="14.25">
      <c r="A18" s="199" t="s">
        <v>223</v>
      </c>
      <c r="B18" s="27" t="s">
        <v>38</v>
      </c>
      <c r="C18">
        <v>16</v>
      </c>
      <c r="D18">
        <v>17</v>
      </c>
    </row>
    <row r="19" spans="1:4" ht="14.25">
      <c r="A19" s="199" t="s">
        <v>223</v>
      </c>
      <c r="B19" s="27" t="s">
        <v>54</v>
      </c>
      <c r="C19">
        <v>17</v>
      </c>
      <c r="D19">
        <v>34</v>
      </c>
    </row>
    <row r="20" spans="1:4" ht="14.25">
      <c r="A20" s="199" t="s">
        <v>224</v>
      </c>
      <c r="B20" s="27" t="s">
        <v>366</v>
      </c>
      <c r="C20">
        <v>18</v>
      </c>
      <c r="D20">
        <v>24</v>
      </c>
    </row>
    <row r="21" spans="1:4" ht="14.25">
      <c r="A21" s="199" t="s">
        <v>224</v>
      </c>
      <c r="B21" s="27" t="s">
        <v>46</v>
      </c>
      <c r="C21">
        <v>19</v>
      </c>
      <c r="D21">
        <v>26</v>
      </c>
    </row>
    <row r="22" spans="1:4" ht="14.25">
      <c r="A22" s="199" t="s">
        <v>224</v>
      </c>
      <c r="B22" s="27" t="s">
        <v>47</v>
      </c>
      <c r="C22">
        <v>20</v>
      </c>
      <c r="D22">
        <v>27</v>
      </c>
    </row>
    <row r="23" spans="1:4" ht="14.25">
      <c r="A23" s="199" t="s">
        <v>224</v>
      </c>
      <c r="B23" s="27" t="s">
        <v>48</v>
      </c>
      <c r="C23">
        <v>21</v>
      </c>
      <c r="D23">
        <v>28</v>
      </c>
    </row>
    <row r="24" spans="1:4" ht="14.25">
      <c r="A24" s="199" t="s">
        <v>224</v>
      </c>
      <c r="B24" s="27" t="s">
        <v>49</v>
      </c>
      <c r="C24">
        <v>22</v>
      </c>
      <c r="D24">
        <v>29</v>
      </c>
    </row>
    <row r="25" spans="1:4" ht="14.25">
      <c r="A25" s="199" t="s">
        <v>224</v>
      </c>
      <c r="B25" s="27" t="s">
        <v>50</v>
      </c>
      <c r="C25">
        <v>23</v>
      </c>
      <c r="D25">
        <v>30</v>
      </c>
    </row>
    <row r="26" spans="1:4" ht="14.25">
      <c r="A26" s="199" t="s">
        <v>225</v>
      </c>
      <c r="B26" s="27" t="s">
        <v>29</v>
      </c>
      <c r="C26">
        <v>24</v>
      </c>
      <c r="D26">
        <v>9</v>
      </c>
    </row>
    <row r="27" spans="1:4" ht="14.25">
      <c r="A27" s="199" t="s">
        <v>225</v>
      </c>
      <c r="B27" s="27" t="s">
        <v>39</v>
      </c>
      <c r="C27">
        <v>25</v>
      </c>
      <c r="D27">
        <v>18</v>
      </c>
    </row>
    <row r="28" spans="1:4" ht="14.25">
      <c r="A28" s="199" t="s">
        <v>226</v>
      </c>
      <c r="B28" s="27" t="s">
        <v>343</v>
      </c>
      <c r="C28">
        <v>26</v>
      </c>
      <c r="D28">
        <v>3</v>
      </c>
    </row>
    <row r="29" spans="1:4" ht="14.25">
      <c r="A29" s="199" t="s">
        <v>226</v>
      </c>
      <c r="B29" s="27" t="s">
        <v>30</v>
      </c>
      <c r="C29">
        <v>27</v>
      </c>
      <c r="D29">
        <v>10</v>
      </c>
    </row>
    <row r="30" spans="1:4" ht="14.25">
      <c r="A30" s="199" t="s">
        <v>226</v>
      </c>
      <c r="B30" s="27" t="s">
        <v>40</v>
      </c>
      <c r="C30">
        <v>28</v>
      </c>
      <c r="D30">
        <v>19</v>
      </c>
    </row>
    <row r="31" spans="1:4" ht="14.25">
      <c r="A31" s="199" t="s">
        <v>226</v>
      </c>
      <c r="B31" s="27" t="s">
        <v>51</v>
      </c>
      <c r="C31">
        <v>29</v>
      </c>
      <c r="D31">
        <v>31</v>
      </c>
    </row>
    <row r="32" spans="1:4" ht="14.25">
      <c r="A32" s="199" t="s">
        <v>227</v>
      </c>
      <c r="B32" s="27" t="s">
        <v>25</v>
      </c>
      <c r="C32">
        <v>30</v>
      </c>
      <c r="D32">
        <v>5</v>
      </c>
    </row>
    <row r="33" spans="1:4" ht="14.25">
      <c r="A33" s="199" t="s">
        <v>227</v>
      </c>
      <c r="B33" s="27" t="s">
        <v>28</v>
      </c>
      <c r="C33">
        <v>31</v>
      </c>
      <c r="D33">
        <v>8</v>
      </c>
    </row>
    <row r="34" spans="1:4" ht="14.25">
      <c r="A34" s="199" t="s">
        <v>227</v>
      </c>
      <c r="B34" s="27" t="s">
        <v>32</v>
      </c>
      <c r="C34">
        <v>32</v>
      </c>
      <c r="D34">
        <v>12</v>
      </c>
    </row>
    <row r="35" spans="1:4" ht="14.25">
      <c r="A35" s="199" t="s">
        <v>228</v>
      </c>
      <c r="B35" s="27" t="s">
        <v>24</v>
      </c>
      <c r="C35">
        <v>33</v>
      </c>
      <c r="D35">
        <v>2</v>
      </c>
    </row>
    <row r="36" spans="1:4" ht="14.25">
      <c r="A36" s="199" t="s">
        <v>228</v>
      </c>
      <c r="B36" s="27" t="s">
        <v>344</v>
      </c>
      <c r="C36">
        <v>34</v>
      </c>
      <c r="D36">
        <v>4</v>
      </c>
    </row>
    <row r="37" spans="1:4" ht="14.25">
      <c r="A37" s="199" t="s">
        <v>228</v>
      </c>
      <c r="B37" s="27" t="s">
        <v>345</v>
      </c>
      <c r="C37">
        <v>35</v>
      </c>
      <c r="D37">
        <v>22</v>
      </c>
    </row>
    <row r="38" spans="1:4" ht="14.25">
      <c r="A38" s="199" t="s">
        <v>228</v>
      </c>
      <c r="B38" s="27" t="s">
        <v>346</v>
      </c>
      <c r="C38">
        <v>36</v>
      </c>
      <c r="D38">
        <v>23</v>
      </c>
    </row>
    <row r="39" spans="1:4" ht="14.25">
      <c r="A39" s="199" t="s">
        <v>228</v>
      </c>
      <c r="B39" s="27" t="s">
        <v>347</v>
      </c>
      <c r="C39">
        <v>37</v>
      </c>
      <c r="D39">
        <v>32</v>
      </c>
    </row>
    <row r="40" spans="1:4" ht="14.25">
      <c r="A40" s="199" t="s">
        <v>228</v>
      </c>
      <c r="B40" s="27" t="s">
        <v>348</v>
      </c>
      <c r="C40">
        <v>38</v>
      </c>
      <c r="D40">
        <v>37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E38A-E136-4887-AAB1-2A815CE377C1}">
  <sheetPr>
    <pageSetUpPr fitToPage="1"/>
  </sheetPr>
  <dimension ref="A1:F50"/>
  <sheetViews>
    <sheetView zoomScaleNormal="100" workbookViewId="0">
      <selection activeCell="F1" sqref="A1:F1048576"/>
    </sheetView>
  </sheetViews>
  <sheetFormatPr defaultColWidth="9.28515625" defaultRowHeight="14.25"/>
  <cols>
    <col min="1" max="1" width="16" style="409" customWidth="1"/>
    <col min="2" max="2" width="63.5703125" style="1" customWidth="1"/>
    <col min="3" max="3" width="15.28515625" style="1" customWidth="1"/>
    <col min="4" max="5" width="14.5703125" style="1" customWidth="1"/>
    <col min="6" max="6" width="25.28515625" style="1" bestFit="1" customWidth="1"/>
    <col min="7" max="16384" width="9.28515625" style="1"/>
  </cols>
  <sheetData>
    <row r="1" spans="1:6" ht="15" customHeight="1" thickBot="1">
      <c r="A1" s="408"/>
      <c r="E1" s="409"/>
    </row>
    <row r="2" spans="1:6" ht="15" customHeight="1">
      <c r="A2" s="1"/>
      <c r="B2" s="7" t="s">
        <v>380</v>
      </c>
      <c r="C2" s="410" t="e">
        <f>C32/C$49</f>
        <v>#DIV/0!</v>
      </c>
      <c r="D2" s="411" t="e">
        <f>D32/D$49</f>
        <v>#REF!</v>
      </c>
      <c r="E2" s="411" t="e">
        <f>E32/E$49</f>
        <v>#REF!</v>
      </c>
      <c r="F2" s="412" t="s">
        <v>381</v>
      </c>
    </row>
    <row r="3" spans="1:6" ht="15" customHeight="1">
      <c r="A3" s="1"/>
      <c r="B3" s="413" t="s">
        <v>382</v>
      </c>
      <c r="C3" s="414">
        <f>1/3</f>
        <v>0.33333333333333331</v>
      </c>
      <c r="D3" s="415">
        <f>1/3</f>
        <v>0.33333333333333331</v>
      </c>
      <c r="E3" s="415">
        <f>1/3</f>
        <v>0.33333333333333331</v>
      </c>
      <c r="F3" s="416"/>
    </row>
    <row r="4" spans="1:6" ht="15" thickBot="1">
      <c r="A4" s="1"/>
      <c r="B4" s="7" t="s">
        <v>383</v>
      </c>
      <c r="C4" s="417" t="e">
        <f>C2*C3</f>
        <v>#DIV/0!</v>
      </c>
      <c r="D4" s="418" t="e">
        <f>D2*D3</f>
        <v>#REF!</v>
      </c>
      <c r="E4" s="418" t="e">
        <f>E2*E3</f>
        <v>#REF!</v>
      </c>
      <c r="F4" s="419" t="e">
        <f>SUM(C4:E4)</f>
        <v>#DIV/0!</v>
      </c>
    </row>
    <row r="5" spans="1:6" ht="15" customHeight="1" thickBot="1">
      <c r="A5" s="14"/>
    </row>
    <row r="6" spans="1:6" s="13" customFormat="1">
      <c r="A6" s="420"/>
      <c r="B6" s="421"/>
      <c r="C6" s="422"/>
      <c r="D6" s="422"/>
      <c r="E6" s="423"/>
    </row>
    <row r="7" spans="1:6" s="13" customFormat="1">
      <c r="A7" s="424"/>
      <c r="B7" s="425"/>
      <c r="C7" s="1193" t="s">
        <v>384</v>
      </c>
      <c r="D7" s="1193"/>
      <c r="E7" s="1194"/>
    </row>
    <row r="8" spans="1:6" s="17" customFormat="1" ht="101.25" customHeight="1">
      <c r="A8" s="426" t="s">
        <v>210</v>
      </c>
      <c r="B8" s="427" t="s">
        <v>21</v>
      </c>
      <c r="C8" s="428" t="s">
        <v>385</v>
      </c>
      <c r="D8" s="428" t="s">
        <v>386</v>
      </c>
      <c r="E8" s="429" t="s">
        <v>387</v>
      </c>
    </row>
    <row r="9" spans="1:6">
      <c r="A9" s="430" t="s">
        <v>219</v>
      </c>
      <c r="B9" s="431" t="s">
        <v>23</v>
      </c>
      <c r="C9" s="432">
        <v>0</v>
      </c>
      <c r="D9" s="433">
        <f>'Revenue Hours'!E2</f>
        <v>28183</v>
      </c>
      <c r="E9" s="433">
        <f>'Revenue Miles'!F2</f>
        <v>563585</v>
      </c>
    </row>
    <row r="10" spans="1:6">
      <c r="A10" s="434" t="s">
        <v>219</v>
      </c>
      <c r="B10" s="431" t="s">
        <v>27</v>
      </c>
      <c r="C10" s="432">
        <v>0</v>
      </c>
      <c r="D10" s="433">
        <f>'Revenue Hours'!E3</f>
        <v>7578</v>
      </c>
      <c r="E10" s="433">
        <f>'Revenue Miles'!F3</f>
        <v>90570</v>
      </c>
    </row>
    <row r="11" spans="1:6">
      <c r="A11" s="434" t="s">
        <v>219</v>
      </c>
      <c r="B11" s="431" t="s">
        <v>35</v>
      </c>
      <c r="C11" s="432">
        <v>0</v>
      </c>
      <c r="D11" s="433">
        <f>'Revenue Hours'!E4</f>
        <v>42313</v>
      </c>
      <c r="E11" s="433">
        <f>'Revenue Miles'!F4</f>
        <v>474357</v>
      </c>
    </row>
    <row r="12" spans="1:6">
      <c r="A12" s="434" t="s">
        <v>219</v>
      </c>
      <c r="B12" s="431" t="s">
        <v>45</v>
      </c>
      <c r="C12" s="432">
        <v>0</v>
      </c>
      <c r="D12" s="433">
        <f>'Revenue Hours'!E5</f>
        <v>43806</v>
      </c>
      <c r="E12" s="433">
        <f>'Revenue Miles'!F5</f>
        <v>726302</v>
      </c>
    </row>
    <row r="13" spans="1:6">
      <c r="A13" s="434" t="s">
        <v>219</v>
      </c>
      <c r="B13" s="431" t="s">
        <v>58</v>
      </c>
      <c r="C13" s="432">
        <v>0</v>
      </c>
      <c r="D13" s="433">
        <f>'Revenue Hours'!E6</f>
        <v>7975</v>
      </c>
      <c r="E13" s="433">
        <f>'Revenue Miles'!F6</f>
        <v>124910</v>
      </c>
    </row>
    <row r="14" spans="1:6">
      <c r="A14" s="434" t="s">
        <v>220</v>
      </c>
      <c r="B14" s="431" t="s">
        <v>26</v>
      </c>
      <c r="C14" s="432">
        <v>0</v>
      </c>
      <c r="D14" s="433">
        <f>'Revenue Hours'!E7</f>
        <v>144029</v>
      </c>
      <c r="E14" s="433">
        <f>'Revenue Miles'!F7</f>
        <v>1616127</v>
      </c>
    </row>
    <row r="15" spans="1:6">
      <c r="A15" s="435"/>
      <c r="B15" s="436"/>
      <c r="C15" s="437" t="s">
        <v>173</v>
      </c>
      <c r="D15" s="438" t="e">
        <f>'Revenue Hours'!#REF!</f>
        <v>#REF!</v>
      </c>
      <c r="E15" s="438" t="e">
        <f>'Revenue Miles'!#REF!</f>
        <v>#REF!</v>
      </c>
    </row>
    <row r="16" spans="1:6">
      <c r="A16" s="434" t="s">
        <v>221</v>
      </c>
      <c r="B16" s="431" t="s">
        <v>342</v>
      </c>
      <c r="C16" s="432">
        <v>0</v>
      </c>
      <c r="D16" s="433">
        <f>'Revenue Hours'!E8</f>
        <v>38381</v>
      </c>
      <c r="E16" s="433">
        <f>'Revenue Miles'!F8</f>
        <v>532870</v>
      </c>
    </row>
    <row r="17" spans="1:5">
      <c r="A17" s="434" t="s">
        <v>222</v>
      </c>
      <c r="B17" s="431" t="s">
        <v>31</v>
      </c>
      <c r="C17" s="432">
        <v>0</v>
      </c>
      <c r="D17" s="433">
        <f>'Revenue Hours'!E9</f>
        <v>24537</v>
      </c>
      <c r="E17" s="433">
        <f>'Revenue Miles'!F9</f>
        <v>470169</v>
      </c>
    </row>
    <row r="18" spans="1:5">
      <c r="A18" s="434" t="s">
        <v>222</v>
      </c>
      <c r="B18" s="439" t="s">
        <v>41</v>
      </c>
      <c r="C18" s="432">
        <v>0</v>
      </c>
      <c r="D18" s="433">
        <f>'Revenue Hours'!E10</f>
        <v>3025</v>
      </c>
      <c r="E18" s="433">
        <f>'Revenue Miles'!F10</f>
        <v>53460</v>
      </c>
    </row>
    <row r="19" spans="1:5">
      <c r="A19" s="434" t="s">
        <v>222</v>
      </c>
      <c r="B19" s="431" t="s">
        <v>42</v>
      </c>
      <c r="C19" s="432">
        <v>0</v>
      </c>
      <c r="D19" s="433">
        <f>'Revenue Hours'!E11</f>
        <v>935916</v>
      </c>
      <c r="E19" s="433">
        <f>'Revenue Miles'!F11</f>
        <v>12877408</v>
      </c>
    </row>
    <row r="20" spans="1:5">
      <c r="A20" s="434" t="s">
        <v>222</v>
      </c>
      <c r="B20" s="431" t="s">
        <v>53</v>
      </c>
      <c r="C20" s="432">
        <v>0</v>
      </c>
      <c r="D20" s="433">
        <f>'Revenue Hours'!E12</f>
        <v>21730</v>
      </c>
      <c r="E20" s="433">
        <f>'Revenue Miles'!F12</f>
        <v>543346</v>
      </c>
    </row>
    <row r="21" spans="1:5">
      <c r="A21" s="434" t="s">
        <v>222</v>
      </c>
      <c r="B21" s="431" t="s">
        <v>59</v>
      </c>
      <c r="C21" s="432">
        <v>0</v>
      </c>
      <c r="D21" s="433">
        <f>'Revenue Hours'!E13</f>
        <v>953</v>
      </c>
      <c r="E21" s="433">
        <f>'Revenue Miles'!F13</f>
        <v>13408</v>
      </c>
    </row>
    <row r="22" spans="1:5">
      <c r="A22" s="434" t="s">
        <v>222</v>
      </c>
      <c r="B22" s="431" t="s">
        <v>61</v>
      </c>
      <c r="C22" s="432">
        <v>0</v>
      </c>
      <c r="D22" s="433">
        <f>'Revenue Hours'!E14</f>
        <v>69229</v>
      </c>
      <c r="E22" s="433">
        <f>'Revenue Miles'!F14</f>
        <v>1121781</v>
      </c>
    </row>
    <row r="23" spans="1:5">
      <c r="A23" s="434" t="s">
        <v>223</v>
      </c>
      <c r="B23" s="431" t="s">
        <v>34</v>
      </c>
      <c r="C23" s="432">
        <v>0</v>
      </c>
      <c r="D23" s="433">
        <f>'Revenue Hours'!E15</f>
        <v>32391</v>
      </c>
      <c r="E23" s="433">
        <f>'Revenue Miles'!F15</f>
        <v>522819</v>
      </c>
    </row>
    <row r="24" spans="1:5">
      <c r="A24" s="434" t="s">
        <v>223</v>
      </c>
      <c r="B24" s="431" t="s">
        <v>36</v>
      </c>
      <c r="C24" s="432">
        <v>0</v>
      </c>
      <c r="D24" s="433">
        <f>'Revenue Hours'!E16</f>
        <v>11641</v>
      </c>
      <c r="E24" s="433">
        <f>'Revenue Miles'!F16</f>
        <v>170330</v>
      </c>
    </row>
    <row r="25" spans="1:5">
      <c r="A25" s="434" t="s">
        <v>223</v>
      </c>
      <c r="B25" s="431" t="s">
        <v>38</v>
      </c>
      <c r="C25" s="432">
        <v>0</v>
      </c>
      <c r="D25" s="433">
        <f>'Revenue Hours'!E17</f>
        <v>82740</v>
      </c>
      <c r="E25" s="433">
        <f>'Revenue Miles'!F17</f>
        <v>1183040</v>
      </c>
    </row>
    <row r="26" spans="1:5">
      <c r="A26" s="434" t="s">
        <v>223</v>
      </c>
      <c r="B26" s="431" t="s">
        <v>54</v>
      </c>
      <c r="C26" s="432">
        <v>0</v>
      </c>
      <c r="D26" s="433">
        <f>'Revenue Hours'!E18</f>
        <v>3083</v>
      </c>
      <c r="E26" s="433">
        <f>'Revenue Miles'!F18</f>
        <v>52054</v>
      </c>
    </row>
    <row r="27" spans="1:5">
      <c r="A27" s="434" t="s">
        <v>224</v>
      </c>
      <c r="B27" s="431" t="s">
        <v>366</v>
      </c>
      <c r="C27" s="432">
        <v>0</v>
      </c>
      <c r="D27" s="433">
        <f>'Revenue Hours'!E19</f>
        <v>171928</v>
      </c>
      <c r="E27" s="433">
        <f>'Revenue Miles'!F19</f>
        <v>3402392</v>
      </c>
    </row>
    <row r="28" spans="1:5">
      <c r="A28" s="434" t="s">
        <v>224</v>
      </c>
      <c r="B28" s="431" t="s">
        <v>46</v>
      </c>
      <c r="C28" s="432">
        <v>0</v>
      </c>
      <c r="D28" s="433">
        <f>'Revenue Hours'!E20</f>
        <v>225969</v>
      </c>
      <c r="E28" s="433">
        <f>'Revenue Miles'!F20</f>
        <v>2247168</v>
      </c>
    </row>
    <row r="29" spans="1:5">
      <c r="A29" s="434" t="s">
        <v>224</v>
      </c>
      <c r="B29" s="431" t="s">
        <v>47</v>
      </c>
      <c r="C29" s="432">
        <v>0</v>
      </c>
      <c r="D29" s="433">
        <f>'Revenue Hours'!E21</f>
        <v>318474</v>
      </c>
      <c r="E29" s="433">
        <f>'Revenue Miles'!F21</f>
        <v>2959703</v>
      </c>
    </row>
    <row r="30" spans="1:5">
      <c r="A30" s="434" t="s">
        <v>224</v>
      </c>
      <c r="B30" s="431" t="s">
        <v>48</v>
      </c>
      <c r="C30" s="432">
        <v>0</v>
      </c>
      <c r="D30" s="433">
        <f>'Revenue Hours'!E22</f>
        <v>34553</v>
      </c>
      <c r="E30" s="433">
        <f>'Revenue Miles'!F22</f>
        <v>434479</v>
      </c>
    </row>
    <row r="31" spans="1:5">
      <c r="A31" s="434" t="s">
        <v>224</v>
      </c>
      <c r="B31" s="431" t="s">
        <v>49</v>
      </c>
      <c r="C31" s="432">
        <v>0</v>
      </c>
      <c r="D31" s="433">
        <f>'Revenue Hours'!E23</f>
        <v>879010</v>
      </c>
      <c r="E31" s="433">
        <f>'Revenue Miles'!F23</f>
        <v>11834233</v>
      </c>
    </row>
    <row r="32" spans="1:5">
      <c r="A32" s="434" t="s">
        <v>224</v>
      </c>
      <c r="B32" s="431" t="s">
        <v>367</v>
      </c>
      <c r="C32" s="432">
        <v>0</v>
      </c>
      <c r="D32" s="433" t="e">
        <f>'Revenue Hours'!#REF!</f>
        <v>#REF!</v>
      </c>
      <c r="E32" s="433" t="e">
        <f>'Revenue Miles'!#REF!</f>
        <v>#REF!</v>
      </c>
    </row>
    <row r="33" spans="1:5">
      <c r="A33" s="434" t="s">
        <v>224</v>
      </c>
      <c r="B33" s="431" t="s">
        <v>50</v>
      </c>
      <c r="C33" s="432">
        <v>0</v>
      </c>
      <c r="D33" s="433">
        <f>'Revenue Hours'!E24</f>
        <v>196723.52001949801</v>
      </c>
      <c r="E33" s="433">
        <f>'Revenue Miles'!F24</f>
        <v>4028184.9596947301</v>
      </c>
    </row>
    <row r="34" spans="1:5">
      <c r="A34" s="434" t="s">
        <v>225</v>
      </c>
      <c r="B34" s="431" t="s">
        <v>29</v>
      </c>
      <c r="C34" s="432">
        <v>0</v>
      </c>
      <c r="D34" s="433">
        <f>'Revenue Hours'!E25</f>
        <v>44373</v>
      </c>
      <c r="E34" s="433">
        <f>'Revenue Miles'!F25</f>
        <v>571373</v>
      </c>
    </row>
    <row r="35" spans="1:5">
      <c r="A35" s="434" t="s">
        <v>225</v>
      </c>
      <c r="B35" s="431" t="s">
        <v>39</v>
      </c>
      <c r="C35" s="432">
        <v>0</v>
      </c>
      <c r="D35" s="433">
        <f>'Revenue Hours'!E26</f>
        <v>735603</v>
      </c>
      <c r="E35" s="433">
        <f>'Revenue Miles'!F26</f>
        <v>9029698</v>
      </c>
    </row>
    <row r="36" spans="1:5">
      <c r="A36" s="434" t="s">
        <v>226</v>
      </c>
      <c r="B36" s="440" t="s">
        <v>343</v>
      </c>
      <c r="C36" s="432">
        <v>0</v>
      </c>
      <c r="D36" s="433">
        <f>'Revenue Hours'!E28</f>
        <v>121490</v>
      </c>
      <c r="E36" s="433">
        <f>'Revenue Miles'!F28</f>
        <v>1225247</v>
      </c>
    </row>
    <row r="37" spans="1:5">
      <c r="A37" s="434" t="s">
        <v>226</v>
      </c>
      <c r="B37" s="431" t="s">
        <v>30</v>
      </c>
      <c r="C37" s="432">
        <v>0</v>
      </c>
      <c r="D37" s="433">
        <f>'Revenue Hours'!E29</f>
        <v>35518.39</v>
      </c>
      <c r="E37" s="433">
        <f>'Revenue Miles'!F29</f>
        <v>415651.78999999992</v>
      </c>
    </row>
    <row r="38" spans="1:5">
      <c r="A38" s="434" t="s">
        <v>226</v>
      </c>
      <c r="B38" s="441" t="s">
        <v>40</v>
      </c>
      <c r="C38" s="432">
        <v>0</v>
      </c>
      <c r="D38" s="433">
        <f>'Revenue Hours'!E30</f>
        <v>156195</v>
      </c>
      <c r="E38" s="433">
        <f>'Revenue Miles'!F30</f>
        <v>2558671</v>
      </c>
    </row>
    <row r="39" spans="1:5">
      <c r="A39" s="434" t="s">
        <v>226</v>
      </c>
      <c r="B39" s="431" t="s">
        <v>51</v>
      </c>
      <c r="C39" s="432">
        <v>0</v>
      </c>
      <c r="D39" s="433">
        <f>'Revenue Hours'!E31</f>
        <v>18376</v>
      </c>
      <c r="E39" s="433">
        <f>'Revenue Miles'!F31</f>
        <v>230357</v>
      </c>
    </row>
    <row r="40" spans="1:5">
      <c r="A40" s="434" t="s">
        <v>227</v>
      </c>
      <c r="B40" s="431" t="s">
        <v>25</v>
      </c>
      <c r="C40" s="432">
        <v>0</v>
      </c>
      <c r="D40" s="433">
        <f>'Revenue Hours'!E32</f>
        <v>36644</v>
      </c>
      <c r="E40" s="433">
        <f>'Revenue Miles'!F32</f>
        <v>709247</v>
      </c>
    </row>
    <row r="41" spans="1:5">
      <c r="A41" s="434" t="s">
        <v>227</v>
      </c>
      <c r="B41" s="431" t="s">
        <v>28</v>
      </c>
      <c r="C41" s="432">
        <v>0</v>
      </c>
      <c r="D41" s="433">
        <f>'Revenue Hours'!E33</f>
        <v>78270</v>
      </c>
      <c r="E41" s="433">
        <f>'Revenue Miles'!F33</f>
        <v>793294</v>
      </c>
    </row>
    <row r="42" spans="1:5">
      <c r="A42" s="434" t="s">
        <v>227</v>
      </c>
      <c r="B42" s="431" t="s">
        <v>32</v>
      </c>
      <c r="C42" s="432">
        <v>0</v>
      </c>
      <c r="D42" s="433">
        <f>'Revenue Hours'!E34</f>
        <v>27972</v>
      </c>
      <c r="E42" s="433">
        <f>'Revenue Miles'!F34</f>
        <v>388329</v>
      </c>
    </row>
    <row r="43" spans="1:5">
      <c r="A43" s="434" t="s">
        <v>228</v>
      </c>
      <c r="B43" s="431" t="s">
        <v>24</v>
      </c>
      <c r="C43" s="432">
        <v>0</v>
      </c>
      <c r="D43" s="433">
        <f>'Revenue Hours'!E35</f>
        <v>59749</v>
      </c>
      <c r="E43" s="433">
        <f>'Revenue Miles'!F35</f>
        <v>1316507</v>
      </c>
    </row>
    <row r="44" spans="1:5">
      <c r="A44" s="434" t="s">
        <v>228</v>
      </c>
      <c r="B44" s="431" t="s">
        <v>344</v>
      </c>
      <c r="C44" s="432">
        <v>0</v>
      </c>
      <c r="D44" s="433">
        <f>'Revenue Hours'!E36</f>
        <v>14739</v>
      </c>
      <c r="E44" s="433">
        <f>'Revenue Miles'!F36</f>
        <v>375346</v>
      </c>
    </row>
    <row r="45" spans="1:5">
      <c r="A45" s="434" t="s">
        <v>228</v>
      </c>
      <c r="B45" s="431" t="s">
        <v>345</v>
      </c>
      <c r="C45" s="432">
        <v>0</v>
      </c>
      <c r="D45" s="433">
        <f>'Revenue Hours'!E37</f>
        <v>45862</v>
      </c>
      <c r="E45" s="433">
        <f>'Revenue Miles'!F37</f>
        <v>890440</v>
      </c>
    </row>
    <row r="46" spans="1:5">
      <c r="A46" s="434" t="s">
        <v>228</v>
      </c>
      <c r="B46" s="431" t="s">
        <v>346</v>
      </c>
      <c r="C46" s="432">
        <v>0</v>
      </c>
      <c r="D46" s="433">
        <f>'Revenue Hours'!E38</f>
        <v>5116</v>
      </c>
      <c r="E46" s="433">
        <f>'Revenue Miles'!F38</f>
        <v>57889</v>
      </c>
    </row>
    <row r="47" spans="1:5">
      <c r="A47" s="434" t="s">
        <v>228</v>
      </c>
      <c r="B47" s="431" t="s">
        <v>347</v>
      </c>
      <c r="C47" s="432">
        <v>0</v>
      </c>
      <c r="D47" s="433">
        <f>'Revenue Hours'!E39</f>
        <v>17965</v>
      </c>
      <c r="E47" s="433">
        <f>'Revenue Miles'!F39</f>
        <v>302041</v>
      </c>
    </row>
    <row r="48" spans="1:5">
      <c r="A48" s="442" t="s">
        <v>228</v>
      </c>
      <c r="B48" s="443" t="s">
        <v>348</v>
      </c>
      <c r="C48" s="432">
        <v>0</v>
      </c>
      <c r="D48" s="444">
        <f>'Revenue Hours'!E40</f>
        <v>65376</v>
      </c>
      <c r="E48" s="444">
        <f>'Revenue Miles'!F40</f>
        <v>983647</v>
      </c>
    </row>
    <row r="49" spans="1:5" s="18" customFormat="1" ht="15" thickBot="1">
      <c r="A49" s="445"/>
      <c r="B49" s="446" t="s">
        <v>328</v>
      </c>
      <c r="C49" s="447">
        <f>SUM(C9:C48)</f>
        <v>0</v>
      </c>
      <c r="D49" s="447" t="e">
        <f>SUM(D9:D48)</f>
        <v>#REF!</v>
      </c>
      <c r="E49" s="447" t="e">
        <f>SUM(E9:E48)</f>
        <v>#REF!</v>
      </c>
    </row>
    <row r="50" spans="1:5">
      <c r="B50" s="448"/>
      <c r="D50" s="448"/>
      <c r="E50" s="448"/>
    </row>
  </sheetData>
  <sheetProtection sheet="1" objects="1" scenarios="1"/>
  <mergeCells count="1">
    <mergeCell ref="C7:E7"/>
  </mergeCells>
  <printOptions horizontalCentered="1"/>
  <pageMargins left="0.25" right="0.25" top="0.75" bottom="0.75" header="0.3" footer="0.3"/>
  <pageSetup paperSize="17" scale="10" orientation="landscape" r:id="rId1"/>
  <headerFooter alignWithMargins="0"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51D18-DB89-40A6-985A-52EC679C213B}">
  <sheetPr>
    <tabColor rgb="FF7030A0"/>
    <pageSetUpPr fitToPage="1"/>
  </sheetPr>
  <dimension ref="A1:AT75"/>
  <sheetViews>
    <sheetView zoomScale="85" zoomScaleNormal="85" workbookViewId="0">
      <pane xSplit="22" topLeftCell="W1" activePane="topRight" state="frozen"/>
      <selection pane="topRight" activeCell="AD8" sqref="AD8"/>
    </sheetView>
  </sheetViews>
  <sheetFormatPr defaultRowHeight="12.75"/>
  <cols>
    <col min="1" max="1" width="54.28515625" customWidth="1"/>
    <col min="2" max="2" width="14.7109375" hidden="1" customWidth="1"/>
    <col min="3" max="3" width="17.7109375" hidden="1" customWidth="1"/>
    <col min="4" max="4" width="16.42578125" hidden="1" customWidth="1"/>
    <col min="5" max="5" width="15.140625" hidden="1" customWidth="1"/>
    <col min="6" max="6" width="16.42578125" hidden="1" customWidth="1"/>
    <col min="7" max="7" width="15" hidden="1" customWidth="1"/>
    <col min="8" max="8" width="13.42578125" hidden="1" customWidth="1"/>
    <col min="9" max="9" width="17.140625" hidden="1" customWidth="1"/>
    <col min="10" max="10" width="19.85546875" hidden="1" customWidth="1"/>
    <col min="11" max="11" width="17.28515625" hidden="1" customWidth="1"/>
    <col min="12" max="12" width="16.5703125" hidden="1" customWidth="1"/>
    <col min="13" max="13" width="21.5703125" hidden="1" customWidth="1"/>
    <col min="14" max="15" width="17.28515625" hidden="1" customWidth="1"/>
    <col min="16" max="16" width="16.5703125" hidden="1" customWidth="1"/>
    <col min="17" max="17" width="18.140625" hidden="1" customWidth="1"/>
    <col min="18" max="18" width="17.7109375" hidden="1" customWidth="1"/>
    <col min="19" max="19" width="16.42578125" hidden="1" customWidth="1"/>
    <col min="20" max="20" width="15.140625" hidden="1" customWidth="1"/>
    <col min="21" max="21" width="16.42578125" hidden="1" customWidth="1"/>
    <col min="22" max="22" width="17.7109375" hidden="1" customWidth="1"/>
    <col min="23" max="23" width="17.140625" customWidth="1"/>
    <col min="24" max="30" width="9.5703125" customWidth="1"/>
    <col min="31" max="31" width="10" customWidth="1"/>
    <col min="32" max="37" width="9.140625" customWidth="1"/>
    <col min="38" max="38" width="11" customWidth="1"/>
    <col min="39" max="39" width="9.42578125" hidden="1" customWidth="1"/>
    <col min="40" max="40" width="11.85546875" customWidth="1"/>
    <col min="41" max="41" width="13" customWidth="1"/>
    <col min="42" max="42" width="18.42578125" customWidth="1"/>
    <col min="43" max="43" width="17.42578125" customWidth="1"/>
    <col min="44" max="44" width="13.85546875" customWidth="1"/>
    <col min="45" max="45" width="11.5703125" customWidth="1"/>
    <col min="46" max="46" width="10.85546875" hidden="1" customWidth="1"/>
  </cols>
  <sheetData>
    <row r="1" spans="1:46" ht="17.25">
      <c r="A1" s="301" t="s">
        <v>0</v>
      </c>
      <c r="B1" s="301"/>
      <c r="C1" s="301"/>
      <c r="D1" s="301"/>
      <c r="E1" s="301"/>
      <c r="F1" s="301"/>
      <c r="G1" s="301"/>
      <c r="H1" s="336"/>
      <c r="I1" s="301"/>
      <c r="J1" s="303"/>
      <c r="K1" s="303"/>
      <c r="L1" s="303"/>
      <c r="M1" s="1164" t="s">
        <v>62</v>
      </c>
      <c r="N1" s="1164"/>
      <c r="O1" s="1164"/>
      <c r="P1" s="1164"/>
      <c r="Q1" s="303"/>
      <c r="W1" s="302"/>
      <c r="X1" s="302"/>
      <c r="Y1" s="302"/>
      <c r="Z1" s="302"/>
      <c r="AA1" s="302"/>
      <c r="AB1" s="302"/>
      <c r="AC1" s="302"/>
      <c r="AD1" s="302"/>
      <c r="AE1" s="302"/>
      <c r="AF1" s="983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</row>
    <row r="2" spans="1:46" ht="20.25">
      <c r="A2" s="337" t="s">
        <v>63</v>
      </c>
      <c r="B2" s="301"/>
      <c r="C2" s="301"/>
      <c r="D2" s="301"/>
      <c r="E2" s="301"/>
      <c r="F2" s="301"/>
      <c r="G2" s="301"/>
      <c r="H2" s="301"/>
      <c r="I2" s="301"/>
      <c r="J2" s="303"/>
      <c r="K2" s="303"/>
      <c r="L2" s="303"/>
      <c r="M2" s="303"/>
      <c r="N2" s="303"/>
      <c r="O2" s="303"/>
      <c r="P2" s="303"/>
      <c r="Q2" s="302"/>
      <c r="W2" s="302"/>
      <c r="X2" s="302"/>
      <c r="Y2" s="302"/>
      <c r="Z2" s="302"/>
      <c r="AA2" s="302"/>
      <c r="AB2" s="302"/>
      <c r="AC2" s="302"/>
      <c r="AD2" s="302"/>
      <c r="AE2" s="302"/>
      <c r="AF2" s="983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</row>
    <row r="3" spans="1:46" ht="17.25">
      <c r="A3" s="338" t="s">
        <v>64</v>
      </c>
      <c r="B3" s="301"/>
      <c r="C3" s="301"/>
      <c r="D3" s="301"/>
      <c r="E3" s="301"/>
      <c r="F3" s="301"/>
      <c r="G3" s="301"/>
      <c r="H3" s="301"/>
      <c r="I3" s="301"/>
      <c r="J3" s="303"/>
      <c r="K3" s="303"/>
      <c r="L3" s="303"/>
      <c r="M3" s="303"/>
      <c r="N3" s="303"/>
      <c r="O3" s="303"/>
      <c r="P3" s="303"/>
      <c r="Q3" s="302"/>
      <c r="W3" s="302"/>
      <c r="X3" s="302"/>
      <c r="Y3" s="302"/>
      <c r="Z3" s="302"/>
      <c r="AA3" s="302"/>
      <c r="AB3" s="302"/>
      <c r="AC3" s="302"/>
      <c r="AD3" s="302"/>
      <c r="AE3" s="302"/>
      <c r="AF3" s="983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</row>
    <row r="4" spans="1:46" ht="17.25">
      <c r="A4" s="339">
        <f ca="1">TODAY()</f>
        <v>46199</v>
      </c>
      <c r="B4" s="301"/>
      <c r="C4" s="301"/>
      <c r="D4" s="301"/>
      <c r="E4" s="301"/>
      <c r="F4" s="301"/>
      <c r="G4" s="301"/>
      <c r="H4" s="301"/>
      <c r="I4" s="301"/>
      <c r="J4" s="303"/>
      <c r="K4" s="303"/>
      <c r="L4" s="303"/>
      <c r="M4" s="303"/>
      <c r="N4" s="303"/>
      <c r="O4" s="303"/>
      <c r="P4" s="303"/>
      <c r="Q4" s="302"/>
      <c r="W4" s="302"/>
      <c r="X4" s="302"/>
      <c r="Y4" s="984"/>
      <c r="Z4" s="302"/>
      <c r="AA4" s="302"/>
      <c r="AB4" s="302"/>
      <c r="AC4" s="302"/>
      <c r="AD4" s="302"/>
      <c r="AE4" s="302"/>
      <c r="AF4" s="983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</row>
    <row r="5" spans="1:46" ht="17.25">
      <c r="A5" s="339"/>
      <c r="B5" s="301"/>
      <c r="C5" s="301"/>
      <c r="D5" s="301"/>
      <c r="E5" s="301"/>
      <c r="F5" s="301"/>
      <c r="G5" s="301"/>
      <c r="H5" s="301"/>
      <c r="I5" s="301"/>
      <c r="J5" s="303"/>
      <c r="K5" s="303"/>
      <c r="L5" s="303"/>
      <c r="M5" s="303"/>
      <c r="N5" s="303"/>
      <c r="O5" s="303"/>
      <c r="P5" s="303"/>
      <c r="Q5" s="302"/>
      <c r="W5" s="302"/>
      <c r="X5" s="302"/>
      <c r="Y5" s="302"/>
      <c r="Z5" s="302"/>
      <c r="AA5" s="302"/>
      <c r="AB5" s="302"/>
      <c r="AC5" s="302"/>
      <c r="AD5" s="302"/>
      <c r="AE5" s="302"/>
      <c r="AF5" s="983"/>
      <c r="AG5" s="302"/>
      <c r="AH5" s="302"/>
      <c r="AI5" s="302"/>
      <c r="AJ5" s="302"/>
      <c r="AK5" s="302"/>
      <c r="AL5" s="302"/>
      <c r="AM5" s="302"/>
      <c r="AN5" s="302"/>
      <c r="AO5" s="302"/>
      <c r="AP5" s="302"/>
      <c r="AQ5" s="302"/>
      <c r="AR5" s="302"/>
      <c r="AS5" s="302"/>
    </row>
    <row r="6" spans="1:46" ht="17.25">
      <c r="B6" s="301"/>
      <c r="C6" s="301"/>
      <c r="D6" s="301"/>
      <c r="E6" s="301"/>
      <c r="F6" s="301"/>
      <c r="G6" s="301"/>
      <c r="H6" s="301"/>
      <c r="I6" s="301"/>
      <c r="J6" s="303"/>
      <c r="K6" s="303"/>
      <c r="L6" s="303"/>
      <c r="M6" s="303"/>
      <c r="N6" s="303"/>
      <c r="O6" s="302"/>
      <c r="P6" s="302"/>
      <c r="Q6" s="302"/>
      <c r="W6" s="1089" t="s">
        <v>65</v>
      </c>
      <c r="X6" s="984" t="s">
        <v>66</v>
      </c>
      <c r="Y6" s="302"/>
      <c r="Z6" s="302"/>
      <c r="AA6" s="302"/>
      <c r="AB6" s="302"/>
      <c r="AC6" s="302"/>
      <c r="AD6" s="302"/>
      <c r="AE6" s="302"/>
      <c r="AF6" s="983"/>
      <c r="AG6" s="302"/>
      <c r="AH6" s="302"/>
      <c r="AI6" s="302"/>
      <c r="AJ6" s="302"/>
      <c r="AK6" s="302"/>
      <c r="AL6" s="1075">
        <v>6</v>
      </c>
      <c r="AM6" s="302"/>
      <c r="AN6" s="984" t="s">
        <v>67</v>
      </c>
      <c r="AO6" s="984"/>
      <c r="AP6" s="302"/>
      <c r="AQ6" s="302"/>
      <c r="AR6" s="302"/>
      <c r="AS6" s="302"/>
    </row>
    <row r="7" spans="1:46" ht="17.25">
      <c r="B7" s="301"/>
      <c r="C7" s="301"/>
      <c r="D7" s="301"/>
      <c r="E7" s="301"/>
      <c r="F7" s="301"/>
      <c r="G7" s="301"/>
      <c r="H7" s="301"/>
      <c r="I7" s="301"/>
      <c r="J7" s="303"/>
      <c r="K7" s="303"/>
      <c r="L7" s="303"/>
      <c r="M7" s="303"/>
      <c r="N7" s="303"/>
      <c r="O7" s="302"/>
      <c r="P7" s="302"/>
      <c r="Q7" s="302"/>
      <c r="W7" s="1074">
        <v>0.6</v>
      </c>
      <c r="X7" s="985" t="s">
        <v>68</v>
      </c>
      <c r="Y7" s="302"/>
      <c r="Z7" s="302"/>
      <c r="AA7" s="302"/>
      <c r="AB7" s="302"/>
      <c r="AC7" s="302"/>
      <c r="AD7" s="302"/>
      <c r="AE7" s="302"/>
      <c r="AF7" s="983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</row>
    <row r="8" spans="1:46" ht="18" thickBot="1">
      <c r="A8" s="340"/>
      <c r="B8" s="301"/>
      <c r="C8" s="301"/>
      <c r="D8" s="301"/>
      <c r="E8" s="301"/>
      <c r="F8" s="301"/>
      <c r="G8" s="301"/>
      <c r="H8" s="301"/>
      <c r="I8" s="301"/>
      <c r="J8" s="303"/>
      <c r="K8" s="303"/>
      <c r="L8" s="303"/>
      <c r="M8" s="1163" t="s">
        <v>69</v>
      </c>
      <c r="N8" s="1163"/>
      <c r="O8" s="1163"/>
      <c r="P8" s="1163"/>
      <c r="Q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2"/>
      <c r="AP8" s="302"/>
      <c r="AQ8" s="302"/>
      <c r="AR8" s="302"/>
      <c r="AS8" s="302"/>
    </row>
    <row r="9" spans="1:46" ht="17.25" thickBot="1">
      <c r="A9" s="301"/>
      <c r="B9" s="341"/>
      <c r="C9" s="302"/>
      <c r="D9" s="302"/>
      <c r="E9" s="302"/>
      <c r="F9" s="302"/>
      <c r="G9" s="302"/>
      <c r="H9" s="302"/>
      <c r="I9" s="1170" t="s">
        <v>70</v>
      </c>
      <c r="J9" s="1171"/>
      <c r="K9" s="1171"/>
      <c r="L9" s="1171"/>
      <c r="M9" s="1168" t="s">
        <v>71</v>
      </c>
      <c r="N9" s="1168"/>
      <c r="O9" s="1168"/>
      <c r="P9" s="1169"/>
      <c r="Q9" s="309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02"/>
      <c r="AK9" s="302"/>
      <c r="AL9" s="302"/>
      <c r="AM9" s="302"/>
      <c r="AN9" s="302"/>
      <c r="AO9" s="302"/>
      <c r="AP9" s="302"/>
      <c r="AQ9" s="302"/>
      <c r="AR9" s="302"/>
      <c r="AS9" s="302"/>
    </row>
    <row r="10" spans="1:46" ht="15" thickBot="1">
      <c r="A10" s="301"/>
      <c r="B10" s="342"/>
      <c r="C10" s="302"/>
      <c r="D10" s="302"/>
      <c r="E10" s="302"/>
      <c r="F10" s="302"/>
      <c r="G10" s="302"/>
      <c r="H10" s="302"/>
      <c r="I10" s="343" t="s">
        <v>72</v>
      </c>
      <c r="J10" s="315" t="s">
        <v>73</v>
      </c>
      <c r="K10" s="315" t="s">
        <v>74</v>
      </c>
      <c r="L10" s="315" t="s">
        <v>75</v>
      </c>
      <c r="M10" s="315" t="s">
        <v>72</v>
      </c>
      <c r="N10" s="315" t="s">
        <v>73</v>
      </c>
      <c r="O10" s="315" t="s">
        <v>74</v>
      </c>
      <c r="P10" s="316" t="s">
        <v>75</v>
      </c>
      <c r="Q10" s="319" t="s">
        <v>76</v>
      </c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02"/>
      <c r="AK10" s="302"/>
      <c r="AL10" s="302"/>
      <c r="AM10" s="302"/>
      <c r="AN10" s="302"/>
      <c r="AO10" s="302"/>
      <c r="AP10" s="302"/>
      <c r="AQ10" s="302"/>
      <c r="AR10" s="302"/>
      <c r="AS10" s="302"/>
    </row>
    <row r="11" spans="1:46" ht="15" thickBot="1">
      <c r="A11" s="301"/>
      <c r="B11" s="301"/>
      <c r="C11" s="302"/>
      <c r="D11" s="302"/>
      <c r="E11" s="302"/>
      <c r="F11" s="302"/>
      <c r="G11" s="302"/>
      <c r="H11" s="302"/>
      <c r="I11" s="344">
        <v>0.5</v>
      </c>
      <c r="J11" s="345">
        <v>0.3</v>
      </c>
      <c r="K11" s="345">
        <v>0.1</v>
      </c>
      <c r="L11" s="345">
        <v>0.1</v>
      </c>
      <c r="M11" s="317">
        <v>0.4</v>
      </c>
      <c r="N11" s="317">
        <v>0.3</v>
      </c>
      <c r="O11" s="317">
        <v>0.15</v>
      </c>
      <c r="P11" s="318">
        <v>0.15</v>
      </c>
      <c r="Q11" s="310">
        <f>SUM(M11:P11)</f>
        <v>1</v>
      </c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2"/>
    </row>
    <row r="12" spans="1:46" ht="27" thickBot="1">
      <c r="A12" s="301"/>
      <c r="B12" s="301"/>
      <c r="C12" s="302"/>
      <c r="D12" s="302"/>
      <c r="E12" s="302"/>
      <c r="F12" s="302"/>
      <c r="G12" s="302"/>
      <c r="I12" s="304"/>
      <c r="J12" s="304"/>
      <c r="K12" s="304"/>
      <c r="L12" s="304"/>
      <c r="M12" s="304"/>
      <c r="N12" s="304"/>
      <c r="O12" s="305"/>
      <c r="P12" s="302"/>
      <c r="Q12" s="328" t="s">
        <v>77</v>
      </c>
      <c r="W12" s="302"/>
      <c r="X12" s="1073" t="s">
        <v>78</v>
      </c>
      <c r="Y12" s="1073" t="s">
        <v>78</v>
      </c>
      <c r="Z12" s="1073" t="s">
        <v>79</v>
      </c>
      <c r="AA12" s="1073" t="s">
        <v>79</v>
      </c>
      <c r="AB12" s="1073" t="s">
        <v>79</v>
      </c>
      <c r="AC12" s="1073" t="s">
        <v>78</v>
      </c>
      <c r="AD12" s="1073" t="s">
        <v>78</v>
      </c>
      <c r="AE12" s="302"/>
      <c r="AF12" s="302"/>
      <c r="AG12" s="302"/>
      <c r="AH12" s="302"/>
      <c r="AI12" s="302"/>
      <c r="AJ12" s="302"/>
      <c r="AK12" s="302"/>
      <c r="AL12" s="1006" t="s">
        <v>80</v>
      </c>
      <c r="AM12" s="1076"/>
      <c r="AN12" s="1154">
        <f>Assumptions!C10+P25</f>
        <v>5787004.9198253611</v>
      </c>
      <c r="AO12" s="989"/>
      <c r="AP12" s="302"/>
      <c r="AQ12" s="302"/>
      <c r="AR12" s="302"/>
      <c r="AS12" s="302"/>
    </row>
    <row r="13" spans="1:46" ht="15" thickBot="1">
      <c r="A13" s="336"/>
      <c r="B13" s="1165" t="s">
        <v>81</v>
      </c>
      <c r="C13" s="1166"/>
      <c r="D13" s="1166"/>
      <c r="E13" s="1166"/>
      <c r="F13" s="1166"/>
      <c r="G13" s="1167"/>
      <c r="H13" s="1167"/>
      <c r="I13" s="1172" t="s">
        <v>70</v>
      </c>
      <c r="J13" s="1172"/>
      <c r="K13" s="1172"/>
      <c r="L13" s="1172"/>
      <c r="M13" s="1173" t="s">
        <v>71</v>
      </c>
      <c r="N13" s="1173"/>
      <c r="O13" s="1173"/>
      <c r="P13" s="1173"/>
      <c r="Q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  <c r="AH13" s="302"/>
      <c r="AI13" s="302"/>
      <c r="AJ13" s="302"/>
      <c r="AK13" s="302"/>
      <c r="AL13" s="302"/>
      <c r="AM13" s="302"/>
      <c r="AN13" s="302"/>
      <c r="AO13" s="302"/>
      <c r="AP13" s="302"/>
      <c r="AQ13" s="302"/>
      <c r="AR13" s="302"/>
      <c r="AS13" s="302"/>
    </row>
    <row r="14" spans="1:46" ht="51">
      <c r="A14" s="471" t="s">
        <v>82</v>
      </c>
      <c r="B14" s="898" t="s">
        <v>83</v>
      </c>
      <c r="C14" s="898" t="s">
        <v>84</v>
      </c>
      <c r="D14" s="898" t="s">
        <v>85</v>
      </c>
      <c r="E14" s="898" t="s">
        <v>86</v>
      </c>
      <c r="F14" s="898" t="s">
        <v>87</v>
      </c>
      <c r="G14" s="898" t="s">
        <v>88</v>
      </c>
      <c r="H14" s="898" t="s">
        <v>89</v>
      </c>
      <c r="I14" s="899" t="s">
        <v>90</v>
      </c>
      <c r="J14" s="900" t="s">
        <v>91</v>
      </c>
      <c r="K14" s="900"/>
      <c r="L14" s="901" t="s">
        <v>3</v>
      </c>
      <c r="M14" s="902" t="s">
        <v>92</v>
      </c>
      <c r="N14" s="903" t="s">
        <v>93</v>
      </c>
      <c r="O14" s="903"/>
      <c r="P14" s="904" t="s">
        <v>3</v>
      </c>
      <c r="Q14" s="302"/>
      <c r="R14" s="465" t="s">
        <v>94</v>
      </c>
      <c r="S14" s="465" t="s">
        <v>95</v>
      </c>
      <c r="T14" s="465" t="s">
        <v>96</v>
      </c>
      <c r="U14" s="465" t="s">
        <v>97</v>
      </c>
      <c r="V14" s="465" t="s">
        <v>98</v>
      </c>
      <c r="W14" s="302"/>
      <c r="X14" s="990" t="s">
        <v>99</v>
      </c>
      <c r="Y14" s="990" t="s">
        <v>100</v>
      </c>
      <c r="Z14" s="990" t="s">
        <v>101</v>
      </c>
      <c r="AA14" s="990" t="s">
        <v>102</v>
      </c>
      <c r="AB14" s="990" t="s">
        <v>103</v>
      </c>
      <c r="AC14" s="990" t="s">
        <v>104</v>
      </c>
      <c r="AD14" s="990" t="s">
        <v>105</v>
      </c>
      <c r="AE14" s="1003" t="s">
        <v>106</v>
      </c>
      <c r="AF14" s="1003" t="s">
        <v>107</v>
      </c>
      <c r="AG14" s="1003" t="s">
        <v>108</v>
      </c>
      <c r="AH14" s="1003" t="s">
        <v>109</v>
      </c>
      <c r="AI14" s="1003" t="s">
        <v>110</v>
      </c>
      <c r="AJ14" s="1003" t="s">
        <v>111</v>
      </c>
      <c r="AK14" s="1004" t="s">
        <v>112</v>
      </c>
      <c r="AL14" s="1005" t="s">
        <v>113</v>
      </c>
      <c r="AM14" s="983"/>
      <c r="AN14" s="1006" t="s">
        <v>114</v>
      </c>
      <c r="AO14" s="1006" t="s">
        <v>115</v>
      </c>
      <c r="AP14" s="911" t="s">
        <v>116</v>
      </c>
      <c r="AQ14" s="1055" t="s">
        <v>117</v>
      </c>
      <c r="AR14" s="1056" t="s">
        <v>118</v>
      </c>
      <c r="AS14" s="1057" t="s">
        <v>119</v>
      </c>
      <c r="AT14" s="962" t="s">
        <v>120</v>
      </c>
    </row>
    <row r="15" spans="1:46" ht="14.25">
      <c r="A15" s="472" t="s">
        <v>47</v>
      </c>
      <c r="B15" s="892">
        <f>VLOOKUP($A15, 'Allocation Calculations_FY27'!$B$12:$G$50, 3, FALSE)</f>
        <v>31465620</v>
      </c>
      <c r="C15" s="892">
        <f>VLOOKUP($A15, OpCost[], 10, FALSE)</f>
        <v>33180432.666666668</v>
      </c>
      <c r="D15" s="893">
        <f>VLOOKUP($A15, Ridership[],10, FALSE)</f>
        <v>5230034.333333333</v>
      </c>
      <c r="E15" s="893">
        <f>VLOOKUP($A15, VRHsizing[], 10, FALSE)</f>
        <v>312645.77</v>
      </c>
      <c r="F15" s="893">
        <f>VLOOKUP($A15, VRMsizing[],10, FALSE)</f>
        <v>2953838.6666666665</v>
      </c>
      <c r="G15" s="894">
        <f>IFERROR($I$11*(C15/C$25),0) + IFERROR($J$11*(D15/D$25),0) + IFERROR($K$11*(E15/E$25),0) + IFERROR($L$11*(F15/F$25),0)</f>
        <v>8.6705809737561063E-2</v>
      </c>
      <c r="H15" s="894">
        <f t="shared" ref="H15:H24" si="0">IFERROR($M$11*(C15/C$25),0) + IFERROR($N$11*(D15/D$25),0) + IFERROR($O$11*(E15/E$25),0) + IFERROR($P$11*(F15/F$25),0)</f>
        <v>8.714175267919233E-2</v>
      </c>
      <c r="I15" s="886">
        <f>G15/SUM($G$15:$G$24)</f>
        <v>8.6705809737561076E-2</v>
      </c>
      <c r="J15" s="887">
        <f>MIN(0.3*LargeUrban!B15,LargeUrban!I15*Assumptions!$C$11)</f>
        <v>9260765.2816984635</v>
      </c>
      <c r="K15" s="887"/>
      <c r="L15" s="888">
        <f>I15*Assumptions!$C$11-LargeUrban!J15</f>
        <v>0</v>
      </c>
      <c r="M15" s="880">
        <f t="shared" ref="M15:M24" si="1">H15/SUM($H$15:$H$24)</f>
        <v>8.714175267919233E-2</v>
      </c>
      <c r="N15" s="889">
        <f>MIN(0.3*B15,M15*Assumptions!$C$11)</f>
        <v>9307326.9281542171</v>
      </c>
      <c r="O15" s="889"/>
      <c r="P15" s="890">
        <f>M15*Assumptions!$C$11-N15</f>
        <v>0</v>
      </c>
      <c r="Q15" s="302"/>
      <c r="R15" s="457">
        <f>VLOOKUP($A15,OpCost[[Agency]:[FY25 Operating Cost Performance]], 6, FALSE)</f>
        <v>31465620</v>
      </c>
      <c r="S15" s="466">
        <f>VLOOKUP($A15,Ridership[[Agency]:[FY25 Ridership]], 6, FALSE)</f>
        <v>5758247</v>
      </c>
      <c r="T15" s="466">
        <f>VLOOKUP($A15,VRH[[Agency]:[FY25 Revenue Hours]], 5, FALSE)</f>
        <v>318474</v>
      </c>
      <c r="U15" s="466">
        <f>VLOOKUP($A15,VRM[[Agency]:[FY25 Revenue Miles]], 5, FALSE)</f>
        <v>2865159</v>
      </c>
      <c r="V15" s="466">
        <f>VLOOKUP(A15,PMT!$A$3:$D$12, 4, FALSE)</f>
        <v>13087755</v>
      </c>
      <c r="W15" s="302"/>
      <c r="X15" s="991">
        <f>S15/T15</f>
        <v>18.080744424976608</v>
      </c>
      <c r="Y15" s="991">
        <f>S15/U15</f>
        <v>2.0097478010818945</v>
      </c>
      <c r="Z15" s="1046">
        <f>R15/T15</f>
        <v>98.801220821793933</v>
      </c>
      <c r="AA15" s="1046">
        <f>R15/U15</f>
        <v>10.98215491705696</v>
      </c>
      <c r="AB15" s="1046">
        <f>R15/S15</f>
        <v>5.4644443004963144</v>
      </c>
      <c r="AC15" s="1047">
        <f t="shared" ref="AC15:AC21" si="2">IF(V15=0, "", V15/U15)</f>
        <v>4.5678983260614858</v>
      </c>
      <c r="AD15" s="1047">
        <f t="shared" ref="AD15:AD21" si="3">IF(V15=0, "",V15/T15)</f>
        <v>41.095207144068276</v>
      </c>
      <c r="AE15" s="1007">
        <f>IF(X$12="Yes",(IF($W$6="Weighted Average",IF(X15&gt;=X$25,1,0),IF($W$6="MEDIAN",IF(X15&gt;=X$26,1,0),IF($W$6="MEAN",IF(X15&gt;=X$27,1,0),IF($W$6="PERCENTILE",IF(X15&gt;=X$28,1,0),IF(X15&gt;=X$29,1,0)) )))), 0)</f>
        <v>1</v>
      </c>
      <c r="AF15" s="1007">
        <f>IF(Y$12="Yes",(IF($W$6="Weighted Average",IF(Y15&gt;=Y$25,1,0),IF($W$6="MEDIAN",IF(Y15&gt;=Y$26,1,0),IF($W$6="MEAN",IF(Y15&gt;=Y$27,1,0),IF($W$6="PERCENTILE",IF(Y15&gt;=Y$28,1,0),IF(Y15&gt;=Y$29,1,0)) )))), 0)</f>
        <v>1</v>
      </c>
      <c r="AG15" s="1007">
        <f>IF(Z$12="Yes",(IF($W$6="Weighted Average",IF(Z15&lt;=Z$25,1,0),IF($W$6="MEDIAN",IF(Z15&lt;=Z$26,1,0),IF($W$6="MEAN",IF(Z15&lt;=Z$27,1,0),IF($W$6="PERCENTILE",IF(Z15&lt;=Z$28,1,0),IF(Z15&lt;=Z$29,1,0)) )))), 0)</f>
        <v>0</v>
      </c>
      <c r="AH15" s="1007">
        <f>IF(AA$12="Yes",(IF($W$6="Weighted Average",IF(AA15&lt;=AA$25,1,0),IF($W$6="MEDIAN",IF(AA15&lt;=AA$26,1,0),IF($W$6="MEAN",IF(AA15&lt;=AA$27,1,0),IF($W$6="PERCENTILE",IF(AA15&lt;=AA$28,1,0),IF(AA15&lt;=AA$29,1,0)) )))), 0)</f>
        <v>0</v>
      </c>
      <c r="AI15" s="1007">
        <f>IF(AB$12="Yes",(IF($W$6="Weighted Average",IF(AB15&lt;=AB$25,1,0),IF($W$6="MEDIAN",IF(AB15&lt;=AB$26,1,0),IF($W$6="MEAN",IF(AB15&lt;=AB$27,1,0),IF($W$6="PERCENTILE",IF(AB15&lt;=AB$28,1,0),IF(AB15&lt;=AB$29,1,0)) )))), 0)</f>
        <v>0</v>
      </c>
      <c r="AJ15" s="1007">
        <f t="shared" ref="AJ15:AJ21" si="4">IF(AC$12="Yes",(IF($W$6="Weighted Average",IF(AC15&gt;=AC$25,1,0),IF($W$6="MEDIAN",IF(AC15&gt;=AC$26,1,0),IF($W$6="MEAN",IF(AC15&gt;=AC$27,1,0),IF($W$6="PERCENTILE",IF(AC15&gt;=AC$28,1,0),IF(AC15&gt;=AC$29,1,0)) ))))*IF(AC15="",0,1), 0)</f>
        <v>0</v>
      </c>
      <c r="AK15" s="1007">
        <f t="shared" ref="AK15:AK21" si="5">IF(AD$12="Yes",(IF($W$6="Weighted Average",IF(AD15&gt;=AD$25,1,0),IF($W$6="MEDIAN",IF(AD15&gt;=AD$26,1,0),IF($W$6="MEAN",IF(AD15&gt;=AD$27,1,0),IF($W$6="PERCENTILE",IF(AD15&gt;=AD$28,1,0),IF(AD15&gt;=AD$29,1,0)) ))))*IF(AD15="",0,1), 0)</f>
        <v>0</v>
      </c>
      <c r="AL15" s="1008">
        <f>MIN(SUM(AE15:AK15),$AL$6)</f>
        <v>2</v>
      </c>
      <c r="AM15" s="302">
        <f>M15*AL15</f>
        <v>0.17428350535838466</v>
      </c>
      <c r="AN15" s="1058">
        <f>AM15/$AM$25</f>
        <v>0.14298465267824029</v>
      </c>
      <c r="AO15" s="1059">
        <f>AN15*$AN$12</f>
        <v>827452.88850849704</v>
      </c>
      <c r="AP15" s="961">
        <f>AO15+N15</f>
        <v>10134779.816662714</v>
      </c>
      <c r="AQ15" s="1060">
        <f>VLOOKUP(A15,'Allocation Calculations_FY27'!$B$12:$CH$50, 85, FALSE)</f>
        <v>9439686</v>
      </c>
      <c r="AR15" s="1061">
        <f>AP15-AQ15</f>
        <v>695093.81666271389</v>
      </c>
      <c r="AS15" s="1062">
        <f>AR15/AQ15</f>
        <v>7.3635268870459666E-2</v>
      </c>
      <c r="AT15" s="913">
        <f>(AP15-AP36)/AP36</f>
        <v>9.8039990976660621E-2</v>
      </c>
    </row>
    <row r="16" spans="1:46" ht="14.25">
      <c r="A16" s="472" t="s">
        <v>46</v>
      </c>
      <c r="B16" s="892">
        <f>VLOOKUP($A16, 'Allocation Calculations_FY27'!$B$12:$G$50, 3, FALSE)</f>
        <v>27825334</v>
      </c>
      <c r="C16" s="892">
        <f>VLOOKUP($A16, OpCost[], 10, FALSE)</f>
        <v>26618830.333333332</v>
      </c>
      <c r="D16" s="893">
        <f>VLOOKUP($A16, Ridership[],10, FALSE)</f>
        <v>2401651</v>
      </c>
      <c r="E16" s="893">
        <f>VLOOKUP($A16, VRHsizing[], 10, FALSE)</f>
        <v>224367.33333333334</v>
      </c>
      <c r="F16" s="893">
        <f>VLOOKUP($A16, VRMsizing[],10, FALSE)</f>
        <v>2260861.6666666665</v>
      </c>
      <c r="G16" s="894">
        <f t="shared" ref="G16:G24" si="6">IFERROR($I$11*(C16/C$25),0) + IFERROR($J$11*(D16/D$25),0) + IFERROR($K$11*(E16/E$25),0) + IFERROR($L$11*(F16/F$25),0)</f>
        <v>5.5550360062336351E-2</v>
      </c>
      <c r="H16" s="894">
        <f t="shared" si="0"/>
        <v>5.5426424347235041E-2</v>
      </c>
      <c r="I16" s="886">
        <f t="shared" ref="I16:I24" si="7">G16/SUM($G$15:$G$24)</f>
        <v>5.5550360062336358E-2</v>
      </c>
      <c r="J16" s="887">
        <f>MIN(0.3*LargeUrban!B16,LargeUrban!I16*Assumptions!$C$11)</f>
        <v>5933153.1232823236</v>
      </c>
      <c r="K16" s="887"/>
      <c r="L16" s="888">
        <f>I16*Assumptions!$C$11-LargeUrban!J16</f>
        <v>0</v>
      </c>
      <c r="M16" s="880">
        <f t="shared" si="1"/>
        <v>5.5426424347235041E-2</v>
      </c>
      <c r="N16" s="889">
        <f>MIN(0.3*B16,M16*Assumptions!$C$11)</f>
        <v>5919915.953004499</v>
      </c>
      <c r="O16" s="889"/>
      <c r="P16" s="890">
        <f>M16*Assumptions!$C$11-N16</f>
        <v>0</v>
      </c>
      <c r="Q16" s="302"/>
      <c r="R16" s="457">
        <f>VLOOKUP($A16,OpCost[[Agency]:[FY25 Operating Cost Performance]], 6, FALSE)</f>
        <v>27825334</v>
      </c>
      <c r="S16" s="466">
        <f>VLOOKUP($A16,Ridership[[Agency]:[FY25 Ridership]], 6, FALSE)</f>
        <v>2640152</v>
      </c>
      <c r="T16" s="466">
        <f>VLOOKUP($A16,VRH[[Agency]:[FY25 Revenue Hours]], 5, FALSE)</f>
        <v>225969</v>
      </c>
      <c r="U16" s="466">
        <f>VLOOKUP($A16,VRM[[Agency]:[FY25 Revenue Miles]], 5, FALSE)</f>
        <v>2329537</v>
      </c>
      <c r="V16" s="466">
        <f>VLOOKUP(A16,PMT!$A$3:$D$12, 4, FALSE)</f>
        <v>6570111</v>
      </c>
      <c r="W16" s="302"/>
      <c r="X16" s="991">
        <f t="shared" ref="X16:X23" si="8">S16/T16</f>
        <v>11.683691125773889</v>
      </c>
      <c r="Y16" s="991">
        <f t="shared" ref="Y16:Y23" si="9">S16/U16</f>
        <v>1.1333376546498295</v>
      </c>
      <c r="Z16" s="1046">
        <f t="shared" ref="Z16:Z23" si="10">R16/T16</f>
        <v>123.13783749098327</v>
      </c>
      <c r="AA16" s="1046">
        <f t="shared" ref="AA16:AA23" si="11">R16/U16</f>
        <v>11.944576969586659</v>
      </c>
      <c r="AB16" s="1046">
        <f t="shared" ref="AB16:AB23" si="12">R16/S16</f>
        <v>10.539292434678003</v>
      </c>
      <c r="AC16" s="1047">
        <f t="shared" si="2"/>
        <v>2.8203505675162059</v>
      </c>
      <c r="AD16" s="1047">
        <f t="shared" si="3"/>
        <v>29.075275812168925</v>
      </c>
      <c r="AE16" s="1007">
        <f t="shared" ref="AE16:AE24" si="13">IF(X$12="Yes",(IF($W$6="Weighted Average",IF(X16&gt;=X$25,1,0),IF($W$6="MEDIAN",IF(X16&gt;=X$26,1,0),IF($W$6="MEAN",IF(X16&gt;=X$27,1,0),IF($W$6="PERCENTILE",IF(X16&gt;=X$28,1,0),IF(X16&gt;=X$29,1,0)) )))), 0)</f>
        <v>0</v>
      </c>
      <c r="AF16" s="1007">
        <f t="shared" ref="AF16:AF24" si="14">IF(Y$12="Yes",(IF($W$6="Weighted Average",IF(Y16&gt;=Y$25,1,0),IF($W$6="MEDIAN",IF(Y16&gt;=Y$26,1,0),IF($W$6="MEAN",IF(Y16&gt;=Y$27,1,0),IF($W$6="PERCENTILE",IF(Y16&gt;=Y$28,1,0),IF(Y16&gt;=Y$29,1,0)) )))), 0)</f>
        <v>1</v>
      </c>
      <c r="AG16" s="1007">
        <f t="shared" ref="AG16:AG24" si="15">IF(Z$12="Yes",(IF($W$6="Weighted Average",IF(Z16&lt;=Z$25,1,0),IF($W$6="MEDIAN",IF(Z16&lt;=Z$26,1,0),IF($W$6="MEAN",IF(Z16&lt;=Z$27,1,0),IF($W$6="PERCENTILE",IF(Z16&lt;=Z$28,1,0),IF(Z16&lt;=Z$29,1,0)) )))), 0)</f>
        <v>0</v>
      </c>
      <c r="AH16" s="1007">
        <f t="shared" ref="AH16:AH24" si="16">IF(AA$12="Yes",(IF($W$6="Weighted Average",IF(AA16&lt;=AA$25,1,0),IF($W$6="MEDIAN",IF(AA16&lt;=AA$26,1,0),IF($W$6="MEAN",IF(AA16&lt;=AA$27,1,0),IF($W$6="PERCENTILE",IF(AA16&lt;=AA$28,1,0),IF(AA16&lt;=AA$29,1,0)) )))), 0)</f>
        <v>0</v>
      </c>
      <c r="AI16" s="1007">
        <f t="shared" ref="AI16:AI24" si="17">IF(AB$12="Yes",(IF($W$6="Weighted Average",IF(AB16&lt;=AB$25,1,0),IF($W$6="MEDIAN",IF(AB16&lt;=AB$26,1,0),IF($W$6="MEAN",IF(AB16&lt;=AB$27,1,0),IF($W$6="PERCENTILE",IF(AB16&lt;=AB$28,1,0),IF(AB16&lt;=AB$29,1,0)) )))), 0)</f>
        <v>0</v>
      </c>
      <c r="AJ16" s="1007">
        <f t="shared" si="4"/>
        <v>0</v>
      </c>
      <c r="AK16" s="1007">
        <f t="shared" si="5"/>
        <v>0</v>
      </c>
      <c r="AL16" s="1008">
        <f t="shared" ref="AL16:AL24" si="18">MIN(SUM(AE16:AK16),$AL$6)</f>
        <v>1</v>
      </c>
      <c r="AM16" s="302">
        <f t="shared" ref="AM16:AM24" si="19">M16*AL16</f>
        <v>5.5426424347235041E-2</v>
      </c>
      <c r="AN16" s="1063">
        <f t="shared" ref="AN16:AN24" si="20">AM16/$AM$25</f>
        <v>4.5472622427403402E-2</v>
      </c>
      <c r="AO16" s="1064">
        <f t="shared" ref="AO16:AO24" si="21">AN16*$AN$12</f>
        <v>263150.28970474453</v>
      </c>
      <c r="AP16" s="912">
        <f t="shared" ref="AP16:AP24" si="22">AO16+N16</f>
        <v>6183066.2427092437</v>
      </c>
      <c r="AQ16" s="1065">
        <f>VLOOKUP(A16,'Allocation Calculations_FY27'!$B$12:$CH$50, 85, FALSE)</f>
        <v>6233043.9797005067</v>
      </c>
      <c r="AR16" s="1021">
        <f t="shared" ref="AR16:AR23" si="23">AP16-AQ16</f>
        <v>-49977.736991262995</v>
      </c>
      <c r="AS16" s="1066">
        <f t="shared" ref="AS16:AS23" si="24">AR16/AQ16</f>
        <v>-8.0181909760348568E-3</v>
      </c>
      <c r="AT16" s="913">
        <f t="shared" ref="AT16:AT24" si="25">(AP16-AP37)/AP37</f>
        <v>4.5638217116034503E-2</v>
      </c>
    </row>
    <row r="17" spans="1:46" ht="14.25">
      <c r="A17" s="472" t="s">
        <v>48</v>
      </c>
      <c r="B17" s="892">
        <f>VLOOKUP($A17, 'Allocation Calculations_FY27'!$B$12:$G$50, 3, FALSE)</f>
        <v>5702607</v>
      </c>
      <c r="C17" s="892">
        <f>VLOOKUP($A17, OpCost[], 10, FALSE)</f>
        <v>5494844.666666667</v>
      </c>
      <c r="D17" s="893">
        <f>VLOOKUP($A17, Ridership[],10, FALSE)</f>
        <v>932885</v>
      </c>
      <c r="E17" s="893">
        <f>VLOOKUP($A17, VRHsizing[], 10, FALSE)</f>
        <v>34572.333333333336</v>
      </c>
      <c r="F17" s="893">
        <f>VLOOKUP($A17, VRMsizing[],10, FALSE)</f>
        <v>436061.33333333331</v>
      </c>
      <c r="G17" s="894">
        <f t="shared" si="6"/>
        <v>1.4264046409102079E-2</v>
      </c>
      <c r="H17" s="894">
        <f t="shared" si="0"/>
        <v>1.4045773794695514E-2</v>
      </c>
      <c r="I17" s="886">
        <f t="shared" si="7"/>
        <v>1.4264046409102081E-2</v>
      </c>
      <c r="J17" s="887">
        <f>MIN(0.3*LargeUrban!B17,LargeUrban!I17*Assumptions!$C$11)</f>
        <v>1523496.3627209403</v>
      </c>
      <c r="K17" s="887"/>
      <c r="L17" s="888">
        <f>I17*Assumptions!$C$11-LargeUrban!J17</f>
        <v>0</v>
      </c>
      <c r="M17" s="880">
        <f t="shared" si="1"/>
        <v>1.4045773794695514E-2</v>
      </c>
      <c r="N17" s="889">
        <f>MIN(0.3*B17,M17*Assumptions!$C$11)</f>
        <v>1500183.3753264376</v>
      </c>
      <c r="O17" s="889"/>
      <c r="P17" s="890">
        <f>M17*Assumptions!$C$11-N17</f>
        <v>0</v>
      </c>
      <c r="Q17" s="302"/>
      <c r="R17" s="457">
        <f>VLOOKUP($A17,OpCost[[Agency]:[FY25 Operating Cost Performance]], 6, FALSE)</f>
        <v>5702607</v>
      </c>
      <c r="S17" s="466">
        <f>VLOOKUP($A17,Ridership[[Agency]:[FY25 Ridership]], 6, FALSE)</f>
        <v>949010</v>
      </c>
      <c r="T17" s="466">
        <f>VLOOKUP($A17,VRH[[Agency]:[FY25 Revenue Hours]], 5, FALSE)</f>
        <v>34553</v>
      </c>
      <c r="U17" s="466">
        <f>VLOOKUP($A17,VRM[[Agency]:[FY25 Revenue Miles]], 5, FALSE)</f>
        <v>434414</v>
      </c>
      <c r="V17" s="466">
        <f>VLOOKUP(A17,PMT!$A$3:$D$12, 4, FALSE)</f>
        <v>2823385</v>
      </c>
      <c r="W17" s="302"/>
      <c r="X17" s="991">
        <f t="shared" si="8"/>
        <v>27.465343096113216</v>
      </c>
      <c r="Y17" s="991">
        <f t="shared" si="9"/>
        <v>2.1845750827551598</v>
      </c>
      <c r="Z17" s="1046">
        <f t="shared" si="10"/>
        <v>165.03941770613261</v>
      </c>
      <c r="AA17" s="1046">
        <f t="shared" si="11"/>
        <v>13.127125276809679</v>
      </c>
      <c r="AB17" s="1046">
        <f t="shared" si="12"/>
        <v>6.0090062275423861</v>
      </c>
      <c r="AC17" s="1047">
        <f t="shared" si="2"/>
        <v>6.4992956028120643</v>
      </c>
      <c r="AD17" s="1047">
        <f t="shared" si="3"/>
        <v>81.711718229965555</v>
      </c>
      <c r="AE17" s="1007">
        <f t="shared" si="13"/>
        <v>1</v>
      </c>
      <c r="AF17" s="1007">
        <f t="shared" si="14"/>
        <v>1</v>
      </c>
      <c r="AG17" s="1007">
        <f t="shared" si="15"/>
        <v>0</v>
      </c>
      <c r="AH17" s="1007">
        <f t="shared" si="16"/>
        <v>0</v>
      </c>
      <c r="AI17" s="1007">
        <f t="shared" si="17"/>
        <v>0</v>
      </c>
      <c r="AJ17" s="1007">
        <f t="shared" si="4"/>
        <v>1</v>
      </c>
      <c r="AK17" s="1007">
        <f t="shared" si="5"/>
        <v>1</v>
      </c>
      <c r="AL17" s="1008">
        <f t="shared" si="18"/>
        <v>4</v>
      </c>
      <c r="AM17" s="302">
        <f t="shared" si="19"/>
        <v>5.6183095178782054E-2</v>
      </c>
      <c r="AN17" s="1063">
        <f t="shared" si="20"/>
        <v>4.6093405879159353E-2</v>
      </c>
      <c r="AO17" s="1064">
        <f t="shared" si="21"/>
        <v>266742.76659420237</v>
      </c>
      <c r="AP17" s="912">
        <f t="shared" si="22"/>
        <v>1766926.1419206401</v>
      </c>
      <c r="AQ17" s="1065">
        <f>VLOOKUP(A17,'Allocation Calculations_FY27'!$B$12:$CH$50, 85, FALSE)</f>
        <v>1654201.3819484739</v>
      </c>
      <c r="AR17" s="1021">
        <f t="shared" si="23"/>
        <v>112724.75997216627</v>
      </c>
      <c r="AS17" s="1066">
        <f t="shared" si="24"/>
        <v>6.8144520493259683E-2</v>
      </c>
      <c r="AT17" s="913">
        <f t="shared" si="25"/>
        <v>8.4361198719364996E-2</v>
      </c>
    </row>
    <row r="18" spans="1:46" ht="14.25">
      <c r="A18" s="472" t="s">
        <v>49</v>
      </c>
      <c r="B18" s="892">
        <f>VLOOKUP($A18, 'Allocation Calculations_FY27'!$B$12:$G$50, 3, FALSE)</f>
        <v>135419722</v>
      </c>
      <c r="C18" s="892">
        <f>VLOOKUP($A18, OpCost[], 10, FALSE)</f>
        <v>118347265.33333333</v>
      </c>
      <c r="D18" s="893">
        <f>VLOOKUP($A18, Ridership[],10, FALSE)</f>
        <v>8924625.666666666</v>
      </c>
      <c r="E18" s="893">
        <f>VLOOKUP($A18, VRHsizing[], 10, FALSE)</f>
        <v>849000.24566666654</v>
      </c>
      <c r="F18" s="893">
        <f>VLOOKUP($A18, VRMsizing[],10, FALSE)</f>
        <v>11241060.071</v>
      </c>
      <c r="G18" s="894">
        <f t="shared" si="6"/>
        <v>0.23247869142346267</v>
      </c>
      <c r="H18" s="894">
        <f t="shared" si="0"/>
        <v>0.23106014929826993</v>
      </c>
      <c r="I18" s="886">
        <f t="shared" si="7"/>
        <v>0.2324786914234627</v>
      </c>
      <c r="J18" s="887">
        <f>MIN(0.3*LargeUrban!B18,LargeUrban!I18*Assumptions!$C$11)</f>
        <v>24830292.235151585</v>
      </c>
      <c r="K18" s="887"/>
      <c r="L18" s="888">
        <f>I18*Assumptions!$C$11-LargeUrban!J18</f>
        <v>0</v>
      </c>
      <c r="M18" s="880">
        <f t="shared" si="1"/>
        <v>0.23106014929826993</v>
      </c>
      <c r="N18" s="889">
        <f>MIN(0.3*B18,M18*Assumptions!$C$11)</f>
        <v>24678782.368588157</v>
      </c>
      <c r="O18" s="889"/>
      <c r="P18" s="890">
        <f>M18*Assumptions!$C$11-N18</f>
        <v>0</v>
      </c>
      <c r="Q18" s="302"/>
      <c r="R18" s="457">
        <f>VLOOKUP($A18,OpCost[[Agency]:[FY25 Operating Cost Performance]], 6, FALSE)</f>
        <v>135419722</v>
      </c>
      <c r="S18" s="466">
        <f>VLOOKUP($A18,Ridership[[Agency]:[FY25 Ridership]], 6, FALSE)</f>
        <v>9687227</v>
      </c>
      <c r="T18" s="466">
        <f>VLOOKUP($A18,VRH[[Agency]:[FY25 Revenue Hours]], 5, FALSE)</f>
        <v>879010</v>
      </c>
      <c r="U18" s="466">
        <f>VLOOKUP($A18,VRM[[Agency]:[FY25 Revenue Miles]], 5, FALSE)</f>
        <v>10820543.213</v>
      </c>
      <c r="V18" s="466">
        <f>VLOOKUP(A18,PMT!$A$3:$D$12, 4, FALSE)</f>
        <v>52986458</v>
      </c>
      <c r="W18" s="302"/>
      <c r="X18" s="991">
        <f t="shared" si="8"/>
        <v>11.0206106870229</v>
      </c>
      <c r="Y18" s="991">
        <f t="shared" si="9"/>
        <v>0.89526253990294935</v>
      </c>
      <c r="Z18" s="1046">
        <f t="shared" si="10"/>
        <v>154.05936451234913</v>
      </c>
      <c r="AA18" s="1046">
        <f t="shared" si="11"/>
        <v>12.515057639371031</v>
      </c>
      <c r="AB18" s="1046">
        <f t="shared" si="12"/>
        <v>13.979203955889544</v>
      </c>
      <c r="AC18" s="1047">
        <f t="shared" si="2"/>
        <v>4.8968389993897068</v>
      </c>
      <c r="AD18" s="1047">
        <f t="shared" si="3"/>
        <v>60.279698752005096</v>
      </c>
      <c r="AE18" s="1007">
        <f t="shared" si="13"/>
        <v>0</v>
      </c>
      <c r="AF18" s="1007">
        <f t="shared" si="14"/>
        <v>0</v>
      </c>
      <c r="AG18" s="1007">
        <f t="shared" si="15"/>
        <v>0</v>
      </c>
      <c r="AH18" s="1007">
        <f t="shared" si="16"/>
        <v>0</v>
      </c>
      <c r="AI18" s="1007">
        <f t="shared" si="17"/>
        <v>0</v>
      </c>
      <c r="AJ18" s="1007">
        <f t="shared" si="4"/>
        <v>0</v>
      </c>
      <c r="AK18" s="1007">
        <f t="shared" si="5"/>
        <v>0</v>
      </c>
      <c r="AL18" s="1008">
        <f t="shared" si="18"/>
        <v>0</v>
      </c>
      <c r="AM18" s="302">
        <f t="shared" si="19"/>
        <v>0</v>
      </c>
      <c r="AN18" s="1063">
        <f t="shared" si="20"/>
        <v>0</v>
      </c>
      <c r="AO18" s="1064">
        <f t="shared" si="21"/>
        <v>0</v>
      </c>
      <c r="AP18" s="912">
        <f t="shared" si="22"/>
        <v>24678782.368588157</v>
      </c>
      <c r="AQ18" s="1065">
        <f>VLOOKUP(A18,'Allocation Calculations_FY27'!$B$12:$CH$50, 85, FALSE)</f>
        <v>27873980.644232117</v>
      </c>
      <c r="AR18" s="1021">
        <f t="shared" si="23"/>
        <v>-3195198.2756439596</v>
      </c>
      <c r="AS18" s="1066">
        <f t="shared" si="24"/>
        <v>-0.11463013899685451</v>
      </c>
      <c r="AT18" s="913">
        <f t="shared" si="25"/>
        <v>8.9840335330541893E-2</v>
      </c>
    </row>
    <row r="19" spans="1:46" ht="14.25">
      <c r="A19" s="472" t="s">
        <v>33</v>
      </c>
      <c r="B19" s="892">
        <f>VLOOKUP($A19, 'Allocation Calculations_FY27'!$B$12:$G$50, 3, FALSE)</f>
        <v>27572539</v>
      </c>
      <c r="C19" s="892">
        <f>VLOOKUP($A19, OpCost[], 10, FALSE)</f>
        <v>23912876.333333332</v>
      </c>
      <c r="D19" s="893">
        <f>VLOOKUP($A19, Ridership[],10, FALSE)</f>
        <v>679241.66666666663</v>
      </c>
      <c r="E19" s="893">
        <f>VLOOKUP($A19, VRHsizing[], 10, FALSE)</f>
        <v>160118.64000000001</v>
      </c>
      <c r="F19" s="893">
        <f>VLOOKUP($A19, VRMsizing[],10, FALSE)</f>
        <v>3477414</v>
      </c>
      <c r="G19" s="894">
        <f t="shared" si="6"/>
        <v>4.0876291766162268E-2</v>
      </c>
      <c r="H19" s="894">
        <f t="shared" si="0"/>
        <v>4.1632491809496658E-2</v>
      </c>
      <c r="I19" s="886">
        <f t="shared" si="7"/>
        <v>4.0876291766162275E-2</v>
      </c>
      <c r="J19" s="887">
        <f>MIN(0.3*LargeUrban!B19,LargeUrban!I19*Assumptions!$C$11)</f>
        <v>4365863.657561413</v>
      </c>
      <c r="K19" s="887"/>
      <c r="L19" s="888">
        <f>I19*Assumptions!$C$11-LargeUrban!J19</f>
        <v>0</v>
      </c>
      <c r="M19" s="880">
        <f t="shared" si="1"/>
        <v>4.1632491809496658E-2</v>
      </c>
      <c r="N19" s="889">
        <f>MIN(0.3*B19,M19*Assumptions!$C$11)</f>
        <v>4446630.9225062458</v>
      </c>
      <c r="O19" s="889"/>
      <c r="P19" s="890">
        <f>M19*Assumptions!$C$11-N19</f>
        <v>0</v>
      </c>
      <c r="Q19" s="302"/>
      <c r="R19" s="457">
        <f>VLOOKUP($A19,OpCost[[Agency]:[FY25 Operating Cost Performance]], 6, FALSE)</f>
        <v>27572539</v>
      </c>
      <c r="S19" s="466">
        <f>VLOOKUP($A19,Ridership[[Agency]:[FY25 Ridership]], 6, FALSE)</f>
        <v>819623</v>
      </c>
      <c r="T19" s="466">
        <f>VLOOKUP($A19,VRH[[Agency]:[FY25 Revenue Hours]], 5, FALSE)</f>
        <v>171928</v>
      </c>
      <c r="U19" s="466">
        <f>VLOOKUP($A19,VRM[[Agency]:[FY25 Revenue Miles]], 5, FALSE)</f>
        <v>3306565</v>
      </c>
      <c r="V19" s="466">
        <f>VLOOKUP(A19,PMT!$A$3:$D$12, 4, FALSE)</f>
        <v>12576972</v>
      </c>
      <c r="W19" s="302"/>
      <c r="X19" s="991">
        <f t="shared" si="8"/>
        <v>4.7672455911777023</v>
      </c>
      <c r="Y19" s="991">
        <f t="shared" si="9"/>
        <v>0.24787748010397498</v>
      </c>
      <c r="Z19" s="1046">
        <f t="shared" si="10"/>
        <v>160.3725920152622</v>
      </c>
      <c r="AA19" s="1046">
        <f t="shared" si="11"/>
        <v>8.33872583784078</v>
      </c>
      <c r="AB19" s="1046">
        <f t="shared" si="12"/>
        <v>33.640513992408707</v>
      </c>
      <c r="AC19" s="1047">
        <f t="shared" si="2"/>
        <v>3.8036367045559363</v>
      </c>
      <c r="AD19" s="1047">
        <f t="shared" si="3"/>
        <v>73.152552231166538</v>
      </c>
      <c r="AE19" s="1007">
        <f t="shared" si="13"/>
        <v>0</v>
      </c>
      <c r="AF19" s="1007">
        <f t="shared" si="14"/>
        <v>0</v>
      </c>
      <c r="AG19" s="1007">
        <f t="shared" si="15"/>
        <v>0</v>
      </c>
      <c r="AH19" s="1007">
        <f t="shared" si="16"/>
        <v>0</v>
      </c>
      <c r="AI19" s="1007">
        <f t="shared" si="17"/>
        <v>0</v>
      </c>
      <c r="AJ19" s="1007">
        <f t="shared" si="4"/>
        <v>0</v>
      </c>
      <c r="AK19" s="1007">
        <f t="shared" si="5"/>
        <v>1</v>
      </c>
      <c r="AL19" s="1008">
        <f t="shared" si="18"/>
        <v>1</v>
      </c>
      <c r="AM19" s="302">
        <f t="shared" si="19"/>
        <v>4.1632491809496658E-2</v>
      </c>
      <c r="AN19" s="1063">
        <f t="shared" si="20"/>
        <v>3.4155885086598517E-2</v>
      </c>
      <c r="AO19" s="1064">
        <f t="shared" si="21"/>
        <v>197660.27503713529</v>
      </c>
      <c r="AP19" s="912">
        <f t="shared" si="22"/>
        <v>4644291.1975433808</v>
      </c>
      <c r="AQ19" s="1065">
        <f>VLOOKUP(A19,'Allocation Calculations_FY27'!$B$12:$CH$50, 85, FALSE)</f>
        <v>4923984.6336594969</v>
      </c>
      <c r="AR19" s="1021">
        <f t="shared" si="23"/>
        <v>-279693.43611611612</v>
      </c>
      <c r="AS19" s="1066">
        <f t="shared" si="24"/>
        <v>-5.6802256084265729E-2</v>
      </c>
      <c r="AT19" s="913">
        <f t="shared" si="25"/>
        <v>0.16855574468449339</v>
      </c>
    </row>
    <row r="20" spans="1:46" ht="14.25">
      <c r="A20" s="472" t="s">
        <v>39</v>
      </c>
      <c r="B20" s="892">
        <f>VLOOKUP($A20, 'Allocation Calculations_FY27'!$B$12:$G$50, 3, FALSE)</f>
        <v>83270105</v>
      </c>
      <c r="C20" s="892">
        <f>VLOOKUP($A20, OpCost[], 10, FALSE)</f>
        <v>76201940</v>
      </c>
      <c r="D20" s="893">
        <f>VLOOKUP($A20, Ridership[],10, FALSE)</f>
        <v>10850216.333333334</v>
      </c>
      <c r="E20" s="893">
        <f>VLOOKUP($A20, VRHsizing[], 10, FALSE)</f>
        <v>651208.26333333331</v>
      </c>
      <c r="F20" s="893">
        <f>VLOOKUP($A20, VRMsizing[],10, FALSE)</f>
        <v>7929592.6866666665</v>
      </c>
      <c r="G20" s="894">
        <f t="shared" si="6"/>
        <v>0.1911111353333402</v>
      </c>
      <c r="H20" s="894">
        <f t="shared" si="0"/>
        <v>0.19233025050300351</v>
      </c>
      <c r="I20" s="886">
        <f t="shared" si="7"/>
        <v>0.19111113533334023</v>
      </c>
      <c r="J20" s="887">
        <f>MIN(0.3*LargeUrban!B20,LargeUrban!I20*Assumptions!$C$11)</f>
        <v>20411958.234377444</v>
      </c>
      <c r="K20" s="887"/>
      <c r="L20" s="888">
        <f>I20*Assumptions!$C$11-LargeUrban!J20</f>
        <v>0</v>
      </c>
      <c r="M20" s="880">
        <f t="shared" si="1"/>
        <v>0.19233025050300351</v>
      </c>
      <c r="N20" s="889">
        <f>MIN(0.3*B20,M20*Assumptions!$C$11)</f>
        <v>20542167.957022116</v>
      </c>
      <c r="O20" s="889"/>
      <c r="P20" s="890">
        <f>M20*Assumptions!$C$11-N20</f>
        <v>0</v>
      </c>
      <c r="Q20" s="302"/>
      <c r="R20" s="457">
        <f>VLOOKUP($A20,OpCost[[Agency]:[FY25 Operating Cost Performance]], 6, FALSE)</f>
        <v>83270105</v>
      </c>
      <c r="S20" s="466">
        <f>VLOOKUP($A20,Ridership[[Agency]:[FY25 Ridership]], 6, FALSE)</f>
        <v>12101467</v>
      </c>
      <c r="T20" s="466">
        <f>VLOOKUP($A20,VRH[[Agency]:[FY25 Revenue Hours]], 5, FALSE)</f>
        <v>735603</v>
      </c>
      <c r="U20" s="466">
        <f>VLOOKUP($A20,VRM[[Agency]:[FY25 Revenue Miles]], 5, FALSE)</f>
        <v>7664912</v>
      </c>
      <c r="V20" s="466">
        <f>VLOOKUP(A20,PMT!$A$3:$D$12, 4, FALSE)</f>
        <v>46983226</v>
      </c>
      <c r="W20" s="302"/>
      <c r="X20" s="991">
        <f t="shared" si="8"/>
        <v>16.451084348486887</v>
      </c>
      <c r="Y20" s="991">
        <f t="shared" si="9"/>
        <v>1.5788135597642869</v>
      </c>
      <c r="Z20" s="1046">
        <f t="shared" si="10"/>
        <v>113.19978983228725</v>
      </c>
      <c r="AA20" s="1046">
        <f t="shared" si="11"/>
        <v>10.863804437676519</v>
      </c>
      <c r="AB20" s="1046">
        <f t="shared" si="12"/>
        <v>6.8809926102347756</v>
      </c>
      <c r="AC20" s="1047">
        <f t="shared" si="2"/>
        <v>6.1296497598406869</v>
      </c>
      <c r="AD20" s="1047">
        <f t="shared" si="3"/>
        <v>63.870356700557231</v>
      </c>
      <c r="AE20" s="1007">
        <f t="shared" si="13"/>
        <v>1</v>
      </c>
      <c r="AF20" s="1007">
        <f t="shared" si="14"/>
        <v>1</v>
      </c>
      <c r="AG20" s="1007">
        <f t="shared" si="15"/>
        <v>0</v>
      </c>
      <c r="AH20" s="1007">
        <f t="shared" si="16"/>
        <v>0</v>
      </c>
      <c r="AI20" s="1007">
        <f t="shared" si="17"/>
        <v>0</v>
      </c>
      <c r="AJ20" s="1007">
        <f t="shared" si="4"/>
        <v>1</v>
      </c>
      <c r="AK20" s="1007">
        <f t="shared" si="5"/>
        <v>0</v>
      </c>
      <c r="AL20" s="1008">
        <f t="shared" si="18"/>
        <v>3</v>
      </c>
      <c r="AM20" s="302">
        <f t="shared" si="19"/>
        <v>0.57699075150901047</v>
      </c>
      <c r="AN20" s="1063">
        <f t="shared" si="20"/>
        <v>0.47337137288708803</v>
      </c>
      <c r="AO20" s="1064">
        <f t="shared" si="21"/>
        <v>2739402.4638020638</v>
      </c>
      <c r="AP20" s="912">
        <f t="shared" si="22"/>
        <v>23281570.420824178</v>
      </c>
      <c r="AQ20" s="1065">
        <f>VLOOKUP(A20,'Allocation Calculations_FY27'!$B$12:$CH$50, 85, FALSE)</f>
        <v>20925789.340703771</v>
      </c>
      <c r="AR20" s="1021">
        <f t="shared" si="23"/>
        <v>2355781.080120407</v>
      </c>
      <c r="AS20" s="1066">
        <f t="shared" si="24"/>
        <v>0.1125778837665188</v>
      </c>
      <c r="AT20" s="913">
        <f t="shared" si="25"/>
        <v>5.6646305498334736E-2</v>
      </c>
    </row>
    <row r="21" spans="1:46" ht="14.25">
      <c r="A21" s="472" t="s">
        <v>42</v>
      </c>
      <c r="B21" s="892">
        <f>VLOOKUP($A21, 'Allocation Calculations_FY27'!$B$12:$G$50, 3, FALSE)</f>
        <v>153334791</v>
      </c>
      <c r="C21" s="892">
        <f>VLOOKUP($A21, OpCost[], 10, FALSE)</f>
        <v>134315633.66666666</v>
      </c>
      <c r="D21" s="893">
        <f>VLOOKUP($A21, Ridership[],10, FALSE)</f>
        <v>8357236</v>
      </c>
      <c r="E21" s="893">
        <f>VLOOKUP($A21, VRHsizing[], 10, FALSE)</f>
        <v>964649.45000000007</v>
      </c>
      <c r="F21" s="893">
        <f>VLOOKUP($A21, VRMsizing[],10, FALSE)</f>
        <v>13414248.578866666</v>
      </c>
      <c r="G21" s="894">
        <f t="shared" si="6"/>
        <v>0.25228638868681413</v>
      </c>
      <c r="H21" s="894">
        <f t="shared" si="0"/>
        <v>0.25134507243720761</v>
      </c>
      <c r="I21" s="886">
        <f t="shared" si="7"/>
        <v>0.25228638868681419</v>
      </c>
      <c r="J21" s="887">
        <f>MIN(0.3*LargeUrban!B21,LargeUrban!I21*Assumptions!$C$11)</f>
        <v>26945887.899179798</v>
      </c>
      <c r="K21" s="887"/>
      <c r="L21" s="888">
        <f>I21*Assumptions!$C$11-LargeUrban!J21</f>
        <v>0</v>
      </c>
      <c r="M21" s="880">
        <f t="shared" si="1"/>
        <v>0.25134507243720761</v>
      </c>
      <c r="N21" s="889">
        <f>MIN(0.3*B21,M21*Assumptions!$C$11)</f>
        <v>26845348.974858109</v>
      </c>
      <c r="O21" s="889"/>
      <c r="P21" s="890">
        <f>M21*Assumptions!$C$11-N21</f>
        <v>0</v>
      </c>
      <c r="Q21" s="302"/>
      <c r="R21" s="457">
        <f>VLOOKUP($A21,OpCost[[Agency]:[FY25 Operating Cost Performance]], 6, FALSE)</f>
        <v>153334791</v>
      </c>
      <c r="S21" s="466">
        <f>VLOOKUP($A21,Ridership[[Agency]:[FY25 Ridership]], 6, FALSE)</f>
        <v>9363208</v>
      </c>
      <c r="T21" s="466">
        <f>VLOOKUP($A21,VRH[[Agency]:[FY25 Revenue Hours]], 5, FALSE)</f>
        <v>935916</v>
      </c>
      <c r="U21" s="466">
        <f>VLOOKUP($A21,VRM[[Agency]:[FY25 Revenue Miles]], 5, FALSE)</f>
        <v>13608118.7366</v>
      </c>
      <c r="V21" s="466">
        <f>VLOOKUP(A21,PMT!$A$3:$D$12, 4, FALSE)</f>
        <v>46807316</v>
      </c>
      <c r="W21" s="302"/>
      <c r="X21" s="991">
        <f t="shared" si="8"/>
        <v>10.004325174481471</v>
      </c>
      <c r="Y21" s="991">
        <f t="shared" si="9"/>
        <v>0.68806042783981503</v>
      </c>
      <c r="Z21" s="1046">
        <f t="shared" si="10"/>
        <v>163.83392419832549</v>
      </c>
      <c r="AA21" s="1046">
        <f t="shared" si="11"/>
        <v>11.267890438639046</v>
      </c>
      <c r="AB21" s="1046">
        <f t="shared" si="12"/>
        <v>16.376309380289321</v>
      </c>
      <c r="AC21" s="1047">
        <f t="shared" si="2"/>
        <v>3.4396610513184607</v>
      </c>
      <c r="AD21" s="1047">
        <f t="shared" si="3"/>
        <v>50.012304523055491</v>
      </c>
      <c r="AE21" s="1007">
        <f t="shared" si="13"/>
        <v>0</v>
      </c>
      <c r="AF21" s="1007">
        <f t="shared" si="14"/>
        <v>0</v>
      </c>
      <c r="AG21" s="1007">
        <f t="shared" si="15"/>
        <v>0</v>
      </c>
      <c r="AH21" s="1007">
        <f t="shared" si="16"/>
        <v>0</v>
      </c>
      <c r="AI21" s="1007">
        <f t="shared" si="17"/>
        <v>0</v>
      </c>
      <c r="AJ21" s="1007">
        <f t="shared" si="4"/>
        <v>0</v>
      </c>
      <c r="AK21" s="1007">
        <f t="shared" si="5"/>
        <v>0</v>
      </c>
      <c r="AL21" s="1008">
        <f t="shared" si="18"/>
        <v>0</v>
      </c>
      <c r="AM21" s="302">
        <f t="shared" si="19"/>
        <v>0</v>
      </c>
      <c r="AN21" s="1063">
        <f t="shared" si="20"/>
        <v>0</v>
      </c>
      <c r="AO21" s="1064">
        <f t="shared" si="21"/>
        <v>0</v>
      </c>
      <c r="AP21" s="912">
        <f t="shared" si="22"/>
        <v>26845348.974858109</v>
      </c>
      <c r="AQ21" s="1065">
        <f>VLOOKUP(A21,'Allocation Calculations_FY27'!$B$12:$CH$50, 85, FALSE)</f>
        <v>27714963.044889983</v>
      </c>
      <c r="AR21" s="1021">
        <f t="shared" si="23"/>
        <v>-869614.07003187388</v>
      </c>
      <c r="AS21" s="1066">
        <f t="shared" si="24"/>
        <v>-3.137706042123737E-2</v>
      </c>
      <c r="AT21" s="913">
        <f t="shared" si="25"/>
        <v>9.1656609839980641E-2</v>
      </c>
    </row>
    <row r="22" spans="1:46" ht="14.25">
      <c r="A22" s="472" t="s">
        <v>29</v>
      </c>
      <c r="B22" s="892">
        <f>VLOOKUP($A22, 'Allocation Calculations_FY27'!$B$12:$G$50, 3, FALSE)</f>
        <v>5582819</v>
      </c>
      <c r="C22" s="892">
        <f>VLOOKUP($A22, OpCost[], 10, FALSE)</f>
        <v>4749472.666666667</v>
      </c>
      <c r="D22" s="893">
        <f>VLOOKUP($A22, Ridership[],10, FALSE)</f>
        <v>486378</v>
      </c>
      <c r="E22" s="893">
        <f>VLOOKUP($A22, VRHsizing[], 10, FALSE)</f>
        <v>43265.666666666664</v>
      </c>
      <c r="F22" s="893">
        <f>VLOOKUP($A22, VRMsizing[],10, FALSE)</f>
        <v>554676</v>
      </c>
      <c r="G22" s="894">
        <f t="shared" si="6"/>
        <v>1.072334288425706E-2</v>
      </c>
      <c r="H22" s="894">
        <f t="shared" si="0"/>
        <v>1.0896479348416943E-2</v>
      </c>
      <c r="I22" s="886">
        <f t="shared" si="7"/>
        <v>1.0723342884257062E-2</v>
      </c>
      <c r="J22" s="887">
        <f>MIN(0.3*LargeUrban!B22,LargeUrban!I22*Assumptions!$C$11)</f>
        <v>1145325.3454048121</v>
      </c>
      <c r="K22" s="887"/>
      <c r="L22" s="888">
        <f>I22*Assumptions!$C$11-LargeUrban!J22</f>
        <v>0</v>
      </c>
      <c r="M22" s="880">
        <f t="shared" si="1"/>
        <v>1.0896479348416943E-2</v>
      </c>
      <c r="N22" s="889">
        <f>MIN(0.3*B22,M22*Assumptions!$C$11)</f>
        <v>1163817.4875247106</v>
      </c>
      <c r="O22" s="889"/>
      <c r="P22" s="890">
        <f>M22*Assumptions!$C$11-N22</f>
        <v>0</v>
      </c>
      <c r="Q22" s="302"/>
      <c r="R22" s="457">
        <f>VLOOKUP($A22,OpCost[[Agency]:[FY25 Operating Cost Performance]], 6, FALSE)</f>
        <v>5582819</v>
      </c>
      <c r="S22" s="466">
        <f>VLOOKUP($A22,Ridership[[Agency]:[FY25 Ridership]], 6, FALSE)</f>
        <v>511726</v>
      </c>
      <c r="T22" s="466">
        <f>VLOOKUP($A22,VRH[[Agency]:[FY25 Revenue Hours]], 5, FALSE)</f>
        <v>44373</v>
      </c>
      <c r="U22" s="466">
        <f>VLOOKUP($A22,VRM[[Agency]:[FY25 Revenue Miles]], 5, FALSE)</f>
        <v>539337</v>
      </c>
      <c r="V22" s="466"/>
      <c r="W22" s="302"/>
      <c r="X22" s="991">
        <f t="shared" si="8"/>
        <v>11.532373290063777</v>
      </c>
      <c r="Y22" s="991">
        <f t="shared" si="9"/>
        <v>0.94880566324950821</v>
      </c>
      <c r="Z22" s="1046">
        <f t="shared" si="10"/>
        <v>125.81567619949068</v>
      </c>
      <c r="AA22" s="1046">
        <f t="shared" si="11"/>
        <v>10.351262754085107</v>
      </c>
      <c r="AB22" s="1046">
        <f t="shared" si="12"/>
        <v>10.909781797289956</v>
      </c>
      <c r="AC22" s="1047">
        <v>0</v>
      </c>
      <c r="AD22" s="1047">
        <v>0</v>
      </c>
      <c r="AE22" s="1007">
        <f t="shared" si="13"/>
        <v>0</v>
      </c>
      <c r="AF22" s="1007">
        <f t="shared" si="14"/>
        <v>0</v>
      </c>
      <c r="AG22" s="1007">
        <f t="shared" si="15"/>
        <v>0</v>
      </c>
      <c r="AH22" s="1007">
        <f t="shared" si="16"/>
        <v>0</v>
      </c>
      <c r="AI22" s="1007">
        <f t="shared" si="17"/>
        <v>0</v>
      </c>
      <c r="AJ22" s="1007">
        <f>IF(AC$12="Yes",(IF($W$6="Weighted Average",IF(AC22&gt;=AC$25,1,0),IF($W$6="MEDIAN",IF(AC22&gt;=AC$26,1,0),IF($W$6="MEAN",IF(AC22&gt;=AC$27,1,0),IF($W$6="PERCENTILE",IF(AC22&gt;=AC$28,1,0),IF(AC22&gt;=AC$29,1,0)) ))))*IF(AC22="",0,1), 0)</f>
        <v>0</v>
      </c>
      <c r="AK22" s="1007">
        <f t="shared" ref="AK22" si="26">IF(AD$12="Yes",(IF($W$6="Weighted Average",IF(AD22&gt;=AD$25,1,0),IF($W$6="MEDIAN",IF(AD22&gt;=AD$26,1,0),IF($W$6="MEAN",IF(AD22&gt;=AD$27,1,0),IF($W$6="PERCENTILE",IF(AD22&gt;=AD$28,1,0),IF(AD22&gt;=AD$29,1,0)) ))))*IF(AD22="",0,1), 0)</f>
        <v>0</v>
      </c>
      <c r="AL22" s="1008">
        <f t="shared" si="18"/>
        <v>0</v>
      </c>
      <c r="AM22" s="302">
        <f t="shared" si="19"/>
        <v>0</v>
      </c>
      <c r="AN22" s="1063">
        <f t="shared" si="20"/>
        <v>0</v>
      </c>
      <c r="AO22" s="1064">
        <f t="shared" si="21"/>
        <v>0</v>
      </c>
      <c r="AP22" s="912">
        <f t="shared" si="22"/>
        <v>1163817.4875247106</v>
      </c>
      <c r="AQ22" s="1065">
        <f>VLOOKUP(A22,'Allocation Calculations_FY27'!$B$12:$CH$50, 85, FALSE)</f>
        <v>1159160.443022297</v>
      </c>
      <c r="AR22" s="1021">
        <f t="shared" si="23"/>
        <v>4657.0445024135988</v>
      </c>
      <c r="AS22" s="1066">
        <f t="shared" si="24"/>
        <v>4.017601299671005E-3</v>
      </c>
      <c r="AT22" s="913">
        <f t="shared" si="25"/>
        <v>1.0811556846734981E-2</v>
      </c>
    </row>
    <row r="23" spans="1:46" ht="14.25">
      <c r="A23" s="472" t="s">
        <v>40</v>
      </c>
      <c r="B23" s="892">
        <f>VLOOKUP($A23, 'Allocation Calculations_FY27'!$B$12:$G$50, 3, FALSE)</f>
        <v>11966953</v>
      </c>
      <c r="C23" s="892">
        <f>VLOOKUP($A23, OpCost[], 10, FALSE)</f>
        <v>13011593.333333334</v>
      </c>
      <c r="D23" s="893">
        <f>VLOOKUP($A23, Ridership[],10, FALSE)</f>
        <v>1379387</v>
      </c>
      <c r="E23" s="893">
        <f>VLOOKUP($A23, VRHsizing[], 10, FALSE)</f>
        <v>146926</v>
      </c>
      <c r="F23" s="893">
        <f>VLOOKUP($A23, VRMsizing[],10, FALSE)</f>
        <v>2395047.6666666665</v>
      </c>
      <c r="G23" s="894">
        <f t="shared" si="6"/>
        <v>3.2246470367108496E-2</v>
      </c>
      <c r="H23" s="894">
        <f t="shared" si="0"/>
        <v>3.3984497043221235E-2</v>
      </c>
      <c r="I23" s="886">
        <f t="shared" si="7"/>
        <v>3.2246470367108503E-2</v>
      </c>
      <c r="J23" s="887">
        <f>MIN(0.3*LargeUrban!B23,LargeUrban!I23*Assumptions!$C$11)</f>
        <v>3444140.5268794936</v>
      </c>
      <c r="K23" s="887"/>
      <c r="L23" s="888">
        <f>I23*Assumptions!$C$11-LargeUrban!J23</f>
        <v>0</v>
      </c>
      <c r="M23" s="880">
        <f t="shared" si="1"/>
        <v>3.3984497043221235E-2</v>
      </c>
      <c r="N23" s="889">
        <f>MIN(0.3*B23,M23*Assumptions!$C$11)</f>
        <v>3590085.9</v>
      </c>
      <c r="O23" s="889"/>
      <c r="P23" s="890">
        <f>M23*Assumptions!$C$11-N23</f>
        <v>39687.598297762685</v>
      </c>
      <c r="Q23" s="302"/>
      <c r="R23" s="457">
        <f>VLOOKUP($A23,OpCost[[Agency]:[FY25 Operating Cost Performance]], 6, FALSE)</f>
        <v>11966953</v>
      </c>
      <c r="S23" s="466">
        <f>VLOOKUP($A23,Ridership[[Agency]:[FY25 Ridership]], 6, FALSE)</f>
        <v>1454390</v>
      </c>
      <c r="T23" s="466">
        <f>VLOOKUP($A23,VRH[[Agency]:[FY25 Revenue Hours]], 5, FALSE)</f>
        <v>156195</v>
      </c>
      <c r="U23" s="466">
        <f>VLOOKUP($A23,VRM[[Agency]:[FY25 Revenue Miles]], 5, FALSE)</f>
        <v>2359994</v>
      </c>
      <c r="V23" s="466">
        <f>VLOOKUP(A23,PMT!$A$3:$D$12, 4, FALSE)</f>
        <v>11919375</v>
      </c>
      <c r="W23" s="302"/>
      <c r="X23" s="991">
        <f t="shared" si="8"/>
        <v>9.3113736035084358</v>
      </c>
      <c r="Y23" s="991">
        <f t="shared" si="9"/>
        <v>0.6162685159369049</v>
      </c>
      <c r="Z23" s="1046">
        <f t="shared" si="10"/>
        <v>76.615467844681334</v>
      </c>
      <c r="AA23" s="1046">
        <f t="shared" si="11"/>
        <v>5.0707556883619196</v>
      </c>
      <c r="AB23" s="1046">
        <f t="shared" si="12"/>
        <v>8.2281595720542633</v>
      </c>
      <c r="AC23" s="1047">
        <f t="shared" ref="AC23:AC24" si="27">IF(V23=0, "", V23/U23)</f>
        <v>5.0505954676155955</v>
      </c>
      <c r="AD23" s="1047">
        <f t="shared" ref="AD23:AD24" si="28">IF(V23=0, "",V23/T23)</f>
        <v>76.31086142322097</v>
      </c>
      <c r="AE23" s="1007">
        <f t="shared" si="13"/>
        <v>0</v>
      </c>
      <c r="AF23" s="1007">
        <f t="shared" si="14"/>
        <v>0</v>
      </c>
      <c r="AG23" s="1007">
        <f t="shared" si="15"/>
        <v>0</v>
      </c>
      <c r="AH23" s="1007">
        <f t="shared" si="16"/>
        <v>0</v>
      </c>
      <c r="AI23" s="1007">
        <f t="shared" si="17"/>
        <v>0</v>
      </c>
      <c r="AJ23" s="1007">
        <f t="shared" ref="AJ23:AJ24" si="29">IF(AC$12="Yes",(IF($W$6="Weighted Average",IF(AC23&gt;=AC$25,1,0),IF($W$6="MEDIAN",IF(AC23&gt;=AC$26,1,0),IF($W$6="MEAN",IF(AC23&gt;=AC$27,1,0),IF($W$6="PERCENTILE",IF(AC23&gt;=AC$28,1,0),IF(AC23&gt;=AC$29,1,0)) ))))*IF(AC23="",0,1), 0)</f>
        <v>1</v>
      </c>
      <c r="AK23" s="1007">
        <f t="shared" ref="AK23:AK24" si="30">IF(AD$12="Yes",(IF($W$6="Weighted Average",IF(AD23&gt;=AD$25,1,0),IF($W$6="MEDIAN",IF(AD23&gt;=AD$26,1,0),IF($W$6="MEAN",IF(AD23&gt;=AD$27,1,0),IF($W$6="PERCENTILE",IF(AD23&gt;=AD$28,1,0),IF(AD23&gt;=AD$29,1,0)) ))))*IF(AD23="",0,1), 0)</f>
        <v>1</v>
      </c>
      <c r="AL23" s="1008">
        <f t="shared" si="18"/>
        <v>2</v>
      </c>
      <c r="AM23" s="302">
        <f t="shared" si="19"/>
        <v>6.7968994086442469E-2</v>
      </c>
      <c r="AN23" s="1063">
        <f t="shared" si="20"/>
        <v>5.5762724030336885E-2</v>
      </c>
      <c r="AO23" s="1064">
        <f t="shared" si="21"/>
        <v>322699.15830642346</v>
      </c>
      <c r="AP23" s="912">
        <f t="shared" si="22"/>
        <v>3912785.0583064235</v>
      </c>
      <c r="AQ23" s="1065">
        <f>VLOOKUP(A23,'Allocation Calculations_FY27'!$B$12:$CH$50, 85, FALSE)</f>
        <v>3278828.6264989083</v>
      </c>
      <c r="AR23" s="1021">
        <f t="shared" si="23"/>
        <v>633956.43180751521</v>
      </c>
      <c r="AS23" s="1066">
        <f t="shared" si="24"/>
        <v>0.1933484497128006</v>
      </c>
      <c r="AT23" s="913">
        <f t="shared" si="25"/>
        <v>0.10983321483231602</v>
      </c>
    </row>
    <row r="24" spans="1:46" ht="15" thickBot="1">
      <c r="A24" s="1097" t="s">
        <v>50</v>
      </c>
      <c r="B24" s="892">
        <f>VLOOKUP($A24, 'Allocation Calculations_FY27'!$B$12:$G$50, 3, FALSE)</f>
        <v>56380235</v>
      </c>
      <c r="C24" s="892">
        <f>VLOOKUP($A24, OpCost[], 10, FALSE)</f>
        <v>50499787.666666664</v>
      </c>
      <c r="D24" s="893">
        <f>VLOOKUP($A24, Ridership[],10, FALSE)</f>
        <v>1965817.3333333333</v>
      </c>
      <c r="E24" s="893">
        <f>VLOOKUP($A24, VRHsizing[], 10, FALSE)</f>
        <v>233530.57333983268</v>
      </c>
      <c r="F24" s="893">
        <f>VLOOKUP($A24, VRMsizing[],10, FALSE)</f>
        <v>5563161.3365649106</v>
      </c>
      <c r="G24" s="894">
        <f t="shared" si="6"/>
        <v>8.3757463329855647E-2</v>
      </c>
      <c r="H24" s="894">
        <f t="shared" si="0"/>
        <v>8.2137108739261167E-2</v>
      </c>
      <c r="I24" s="895">
        <f t="shared" si="7"/>
        <v>8.3757463329855661E-2</v>
      </c>
      <c r="J24" s="887">
        <f>MIN(0.3*LargeUrban!B24,LargeUrban!I24*Assumptions!$C$11)</f>
        <v>8945861.9997437522</v>
      </c>
      <c r="K24" s="887"/>
      <c r="L24" s="887">
        <f>I24*Assumptions!$C$11-LargeUrban!J24</f>
        <v>0</v>
      </c>
      <c r="M24" s="880">
        <f t="shared" si="1"/>
        <v>8.2137108739261167E-2</v>
      </c>
      <c r="N24" s="889">
        <f>MIN(0.3*B24,M24*Assumptions!$C$11)</f>
        <v>8772797.2007177453</v>
      </c>
      <c r="O24" s="889"/>
      <c r="P24" s="890">
        <f>M24*Assumptions!$C$11-N24</f>
        <v>0</v>
      </c>
      <c r="Q24" s="302"/>
      <c r="R24" s="457">
        <f>VLOOKUP($A24,OpCost[[Agency]:[FY25 Operating Cost Performance]], 6, FALSE)</f>
        <v>56380235</v>
      </c>
      <c r="S24" s="466">
        <f>VLOOKUP($A24,Ridership[[Agency]:[FY25 Ridership]], 6, FALSE)</f>
        <v>2342487</v>
      </c>
      <c r="T24" s="466">
        <f>VLOOKUP($A24,VRH[[Agency]:[FY25 Revenue Hours]], 5, FALSE)</f>
        <v>196723.52001949801</v>
      </c>
      <c r="U24" s="466">
        <f>VLOOKUP($A24,VRM[[Agency]:[FY25 Revenue Miles]], 5, FALSE)</f>
        <v>3747819.65</v>
      </c>
      <c r="V24" s="466">
        <f>VLOOKUP(A24,PMT!$A$3:$D$12, 4, FALSE)</f>
        <v>40392918</v>
      </c>
      <c r="W24" s="302"/>
      <c r="X24" s="994">
        <f t="shared" ref="X24" si="31">S24/T24</f>
        <v>11.907508567190273</v>
      </c>
      <c r="Y24" s="994">
        <f t="shared" ref="Y24" si="32">S24/U24</f>
        <v>0.6250266071367655</v>
      </c>
      <c r="Z24" s="1048">
        <f t="shared" ref="Z24" si="33">R24/T24</f>
        <v>286.59631036701632</v>
      </c>
      <c r="AA24" s="1048">
        <f t="shared" ref="AA24" si="34">R24/U24</f>
        <v>15.043476011445749</v>
      </c>
      <c r="AB24" s="1048">
        <f t="shared" ref="AB24" si="35">R24/S24</f>
        <v>24.068536986544643</v>
      </c>
      <c r="AC24" s="1049">
        <f t="shared" si="27"/>
        <v>10.777711248725643</v>
      </c>
      <c r="AD24" s="1049">
        <f t="shared" si="28"/>
        <v>205.32836132657908</v>
      </c>
      <c r="AE24" s="1035">
        <f t="shared" si="13"/>
        <v>1</v>
      </c>
      <c r="AF24" s="1035">
        <f t="shared" si="14"/>
        <v>0</v>
      </c>
      <c r="AG24" s="1035">
        <f t="shared" si="15"/>
        <v>0</v>
      </c>
      <c r="AH24" s="1035">
        <f t="shared" si="16"/>
        <v>0</v>
      </c>
      <c r="AI24" s="1035">
        <f t="shared" si="17"/>
        <v>0</v>
      </c>
      <c r="AJ24" s="1035">
        <f t="shared" si="29"/>
        <v>1</v>
      </c>
      <c r="AK24" s="1035">
        <f t="shared" si="30"/>
        <v>1</v>
      </c>
      <c r="AL24" s="1037">
        <f t="shared" si="18"/>
        <v>3</v>
      </c>
      <c r="AM24" s="1067">
        <f t="shared" si="19"/>
        <v>0.2464113262177835</v>
      </c>
      <c r="AN24" s="1068">
        <f t="shared" si="20"/>
        <v>0.20215933701117345</v>
      </c>
      <c r="AO24" s="1069">
        <f t="shared" si="21"/>
        <v>1169897.077872294</v>
      </c>
      <c r="AP24" s="937">
        <f t="shared" si="22"/>
        <v>9942694.2785900384</v>
      </c>
      <c r="AQ24" s="1070">
        <f>VLOOKUP(A24,'Allocation Calculations_FY27'!$B$12:$CH$50, 85, FALSE)</f>
        <v>10139003.059624435</v>
      </c>
      <c r="AR24" s="1024">
        <f t="shared" ref="AR24" si="36">AP24-AQ24</f>
        <v>-196308.78103439696</v>
      </c>
      <c r="AS24" s="1071">
        <f t="shared" ref="AS24" si="37">AR24/AQ24</f>
        <v>-1.9361743938724932E-2</v>
      </c>
      <c r="AT24" s="914">
        <f t="shared" si="25"/>
        <v>0.16836251319141929</v>
      </c>
    </row>
    <row r="25" spans="1:46" ht="17.25" thickTop="1" thickBot="1">
      <c r="A25" s="481" t="s">
        <v>121</v>
      </c>
      <c r="B25" s="906">
        <f>SUM(B15:B24)</f>
        <v>538520725</v>
      </c>
      <c r="C25" s="877">
        <f>SUM(C15:C24)</f>
        <v>486332676.66666669</v>
      </c>
      <c r="D25" s="878">
        <f t="shared" ref="D25:F25" si="38">SUM(D15:D24)</f>
        <v>41207472.333333336</v>
      </c>
      <c r="E25" s="878">
        <f t="shared" si="38"/>
        <v>3620284.2756731659</v>
      </c>
      <c r="F25" s="878">
        <f t="shared" si="38"/>
        <v>50225962.00643158</v>
      </c>
      <c r="G25" s="367">
        <f>SUM(G15:G24)</f>
        <v>0.99999999999999989</v>
      </c>
      <c r="H25" s="367">
        <f t="shared" ref="H25" si="39">SUM(H15:H24)</f>
        <v>1</v>
      </c>
      <c r="I25" s="368">
        <f>SUM(I15:I24)</f>
        <v>1</v>
      </c>
      <c r="J25" s="383">
        <f>SUM(J15:J24)</f>
        <v>106806744.66600004</v>
      </c>
      <c r="K25" s="383"/>
      <c r="L25" s="378">
        <f>SUM(L15:L24)</f>
        <v>0</v>
      </c>
      <c r="M25" s="313">
        <f>SUM(M15:M24)</f>
        <v>1</v>
      </c>
      <c r="N25" s="326">
        <f>SUM(N15:N24)</f>
        <v>106767057.06770223</v>
      </c>
      <c r="O25" s="326"/>
      <c r="P25" s="314">
        <f>SUM(P15:P24)</f>
        <v>39687.598297762685</v>
      </c>
      <c r="Q25" s="302"/>
      <c r="R25" s="468">
        <f>SUM(R15:R24)</f>
        <v>538520725</v>
      </c>
      <c r="S25" s="468">
        <f t="shared" ref="S25:V25" si="40">SUM(S15:S24)</f>
        <v>45627537</v>
      </c>
      <c r="T25" s="468">
        <f t="shared" si="40"/>
        <v>3698744.5200194982</v>
      </c>
      <c r="U25" s="468">
        <f t="shared" si="40"/>
        <v>47676399.599599995</v>
      </c>
      <c r="V25" s="468">
        <f t="shared" si="40"/>
        <v>234147516</v>
      </c>
      <c r="W25" s="461" t="s">
        <v>122</v>
      </c>
      <c r="X25" s="997">
        <f>S25/T25</f>
        <v>12.335952578784617</v>
      </c>
      <c r="Y25" s="997">
        <f t="shared" ref="Y25" si="41">S25/U25</f>
        <v>0.95702564336218909</v>
      </c>
      <c r="Z25" s="1050">
        <f t="shared" ref="Z25" si="42">R25/T25</f>
        <v>145.5955452141261</v>
      </c>
      <c r="AA25" s="1050">
        <f t="shared" ref="AA25" si="43">R25/U25</f>
        <v>11.295331223050622</v>
      </c>
      <c r="AB25" s="1050">
        <f t="shared" ref="AB25" si="44">R25/S25</f>
        <v>11.802537686835912</v>
      </c>
      <c r="AC25" s="1051">
        <f>U25/V25</f>
        <v>0.20361693522984028</v>
      </c>
      <c r="AD25" s="1051">
        <f>T25/V25</f>
        <v>1.5796642147677099E-2</v>
      </c>
      <c r="AE25" s="1015">
        <f>SUM(AE15:AE24)</f>
        <v>4</v>
      </c>
      <c r="AF25" s="1015">
        <f t="shared" ref="AF25:AI25" si="45">SUM(AF15:AF24)</f>
        <v>4</v>
      </c>
      <c r="AG25" s="1015">
        <f t="shared" si="45"/>
        <v>0</v>
      </c>
      <c r="AH25" s="1015">
        <f t="shared" si="45"/>
        <v>0</v>
      </c>
      <c r="AI25" s="1015">
        <f t="shared" si="45"/>
        <v>0</v>
      </c>
      <c r="AJ25" s="1015">
        <f t="shared" ref="AJ25" si="46">SUM(AJ15:AJ24)</f>
        <v>4</v>
      </c>
      <c r="AK25" s="1016">
        <f t="shared" ref="AK25" si="47">SUM(AK15:AK24)</f>
        <v>4</v>
      </c>
      <c r="AL25" s="1017">
        <f t="shared" ref="AL25:AQ25" si="48">SUM(AL15:AL24)</f>
        <v>16</v>
      </c>
      <c r="AM25" s="302">
        <f t="shared" si="48"/>
        <v>1.218896588507135</v>
      </c>
      <c r="AN25" s="1058">
        <f t="shared" si="48"/>
        <v>1</v>
      </c>
      <c r="AO25" s="1072">
        <f t="shared" si="48"/>
        <v>5787004.9198253602</v>
      </c>
      <c r="AP25" s="459">
        <f t="shared" si="48"/>
        <v>112554061.98752759</v>
      </c>
      <c r="AQ25" s="1026">
        <f t="shared" si="48"/>
        <v>113342641.15427999</v>
      </c>
      <c r="AR25" s="1027"/>
      <c r="AS25" s="1028"/>
    </row>
    <row r="26" spans="1:46" ht="15" thickBot="1">
      <c r="A26" s="1098" t="s">
        <v>123</v>
      </c>
      <c r="B26" s="301"/>
      <c r="C26" s="370">
        <f>C25-'Op Cost - Performance'!J42</f>
        <v>0</v>
      </c>
      <c r="D26" s="371">
        <f>D25-'Ridership'!J42</f>
        <v>0</v>
      </c>
      <c r="E26" s="371">
        <f>E25-'Revenue Hours - Sizing'!J42</f>
        <v>0</v>
      </c>
      <c r="F26" s="371">
        <f>F25-'Revenue Miles - Sizing'!J42</f>
        <v>0</v>
      </c>
      <c r="G26" s="371"/>
      <c r="H26" s="372"/>
      <c r="I26" s="373"/>
      <c r="J26" s="374"/>
      <c r="K26" s="374"/>
      <c r="L26" s="374"/>
      <c r="M26" s="306"/>
      <c r="N26" s="307"/>
      <c r="O26" s="302"/>
      <c r="P26" s="308"/>
      <c r="Q26" s="302"/>
      <c r="W26" s="461" t="s">
        <v>124</v>
      </c>
      <c r="X26" s="1000">
        <f>MEDIAN(X15:X24)</f>
        <v>11.608032207918832</v>
      </c>
      <c r="Y26" s="1000">
        <f t="shared" ref="Y26:AB26" si="49">MEDIAN(Y15:Y24)</f>
        <v>0.92203410157622878</v>
      </c>
      <c r="Z26" s="1052">
        <f t="shared" si="49"/>
        <v>139.9375203559199</v>
      </c>
      <c r="AA26" s="1052">
        <f t="shared" si="49"/>
        <v>11.125022677848003</v>
      </c>
      <c r="AB26" s="1052">
        <f t="shared" si="49"/>
        <v>10.72453711598398</v>
      </c>
      <c r="AC26" s="1053">
        <f>MEDIAN(AC15:AC24)</f>
        <v>4.7323686627255963</v>
      </c>
      <c r="AD26" s="1053">
        <f t="shared" ref="AD26" si="50">MEDIAN(AD15:AD24)</f>
        <v>62.075027726281164</v>
      </c>
      <c r="AE26" s="302"/>
      <c r="AF26" s="302"/>
      <c r="AG26" s="302"/>
      <c r="AH26" s="302"/>
      <c r="AI26" s="302"/>
      <c r="AJ26" s="984"/>
      <c r="AK26" s="302"/>
      <c r="AL26" s="302"/>
      <c r="AM26" s="302"/>
      <c r="AN26" s="302"/>
      <c r="AO26" s="302"/>
      <c r="AP26" s="1029">
        <f>AP25+SmallUrban!AP22+Rural!AL33</f>
        <v>138955632.08336741</v>
      </c>
      <c r="AQ26" s="302"/>
      <c r="AR26" s="302"/>
      <c r="AS26" s="302"/>
    </row>
    <row r="27" spans="1:46" ht="14.25">
      <c r="A27" s="375" t="s">
        <v>125</v>
      </c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2"/>
      <c r="P27" s="302"/>
      <c r="Q27" s="302"/>
      <c r="W27" s="461" t="s">
        <v>126</v>
      </c>
      <c r="X27" s="1000">
        <f>AVERAGE(X15:X24)</f>
        <v>13.222429990879514</v>
      </c>
      <c r="Y27" s="1000">
        <f t="shared" ref="Y27:AB27" si="51">AVERAGE(Y15:Y24)</f>
        <v>1.092777533242109</v>
      </c>
      <c r="Z27" s="1052">
        <f t="shared" si="51"/>
        <v>146.74716009883221</v>
      </c>
      <c r="AA27" s="1052">
        <f t="shared" si="51"/>
        <v>10.950482997087345</v>
      </c>
      <c r="AB27" s="1052">
        <f t="shared" si="51"/>
        <v>13.609624125742792</v>
      </c>
      <c r="AC27" s="1053">
        <f t="shared" ref="AC27:AD27" si="52">AVERAGE(AC15:AC24)</f>
        <v>4.798563772783579</v>
      </c>
      <c r="AD27" s="1053">
        <f t="shared" si="52"/>
        <v>68.08363361427871</v>
      </c>
      <c r="AE27" s="302"/>
      <c r="AF27" s="302"/>
      <c r="AG27" s="302"/>
      <c r="AH27" s="302"/>
      <c r="AI27" s="302"/>
      <c r="AJ27" s="302"/>
      <c r="AK27" s="302"/>
      <c r="AL27" s="302"/>
      <c r="AM27" s="302"/>
      <c r="AN27" s="302"/>
      <c r="AO27" s="302"/>
      <c r="AP27" s="302"/>
      <c r="AQ27" s="302"/>
      <c r="AR27" s="302"/>
      <c r="AS27" s="302"/>
    </row>
    <row r="28" spans="1:46" ht="14.25">
      <c r="A28" s="375"/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2"/>
      <c r="P28" s="302"/>
      <c r="Q28" s="302"/>
      <c r="W28" s="462" t="s">
        <v>65</v>
      </c>
      <c r="X28" s="976">
        <f>PERCENTILE(X15:X24,$W7)</f>
        <v>11.773218102340442</v>
      </c>
      <c r="Y28" s="976">
        <f>PERCENTILE(Y15:Y24,$W7)</f>
        <v>1.0226184598096366</v>
      </c>
      <c r="Z28" s="1054">
        <f>PERCENTILE(Z15:Z24,(1-$W7))</f>
        <v>124.74454071608771</v>
      </c>
      <c r="AA28" s="1054">
        <f>PERCENTILE(AA15:AA24,(1-$W7))</f>
        <v>10.934814725304783</v>
      </c>
      <c r="AB28" s="1054">
        <f>PERCENTILE(AB15:AB24,(1-$W7))</f>
        <v>9.614839289628506</v>
      </c>
      <c r="AC28" s="976">
        <f>PERCENTILE(AC15:AC24,$W7)</f>
        <v>4.9583415866800626</v>
      </c>
      <c r="AD28" s="976">
        <f>PERCENTILE(AD15:AD24,$W7)</f>
        <v>67.583234912800947</v>
      </c>
      <c r="AE28" s="1019"/>
      <c r="AF28" s="302"/>
      <c r="AG28" s="461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</row>
    <row r="29" spans="1:46" ht="14.25">
      <c r="A29" s="375"/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2"/>
      <c r="P29" s="302"/>
      <c r="Q29" s="302"/>
      <c r="W29" s="533" t="s">
        <v>127</v>
      </c>
      <c r="X29" s="1155">
        <v>10.962917756243355</v>
      </c>
      <c r="Y29" s="1155">
        <v>0.9</v>
      </c>
      <c r="Z29" s="1156">
        <v>114.85285999792509</v>
      </c>
      <c r="AA29" s="1156">
        <v>9.4913229853014442</v>
      </c>
      <c r="AB29" s="1156">
        <v>9.9319419136510891</v>
      </c>
      <c r="AC29" s="1157">
        <v>3.8434875472994143</v>
      </c>
      <c r="AD29" s="1157">
        <v>61.035125800044483</v>
      </c>
      <c r="AE29" s="461" t="s">
        <v>128</v>
      </c>
      <c r="AF29" s="302"/>
      <c r="AG29" s="302"/>
      <c r="AH29" s="302"/>
      <c r="AI29" s="302"/>
      <c r="AJ29" s="302"/>
      <c r="AK29" s="302"/>
      <c r="AL29" s="302"/>
      <c r="AM29" s="302"/>
      <c r="AN29" s="302"/>
      <c r="AO29" s="302"/>
      <c r="AP29" s="302"/>
      <c r="AQ29" s="302"/>
      <c r="AR29" s="302"/>
      <c r="AS29" s="302"/>
    </row>
    <row r="30" spans="1:46" ht="14.25">
      <c r="A30" s="376" t="s">
        <v>129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2"/>
      <c r="P30" s="302"/>
      <c r="Q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  <c r="AN30" s="302"/>
      <c r="AO30" s="302"/>
      <c r="AP30" s="302"/>
      <c r="AQ30" s="302"/>
      <c r="AR30" s="302"/>
      <c r="AS30" s="302"/>
    </row>
    <row r="31" spans="1:46" ht="14.25">
      <c r="A31" s="376" t="s">
        <v>130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2"/>
      <c r="P31" s="302"/>
      <c r="Q31" s="302"/>
      <c r="W31" s="302"/>
      <c r="X31" s="302"/>
      <c r="Y31" s="302"/>
      <c r="Z31" s="302"/>
      <c r="AA31" s="302"/>
      <c r="AB31" s="302"/>
      <c r="AC31" s="302"/>
      <c r="AD31" s="302"/>
      <c r="AE31" s="302"/>
      <c r="AF31" s="302"/>
      <c r="AG31" s="302"/>
      <c r="AH31" s="302"/>
      <c r="AI31" s="302"/>
      <c r="AJ31" s="302"/>
      <c r="AK31" s="302"/>
      <c r="AL31" s="302"/>
      <c r="AM31" s="302"/>
      <c r="AN31" s="302"/>
      <c r="AO31" s="302"/>
      <c r="AP31" s="302"/>
      <c r="AQ31" s="302"/>
      <c r="AR31" s="302"/>
      <c r="AS31" s="302"/>
    </row>
    <row r="32" spans="1:46" ht="14.25">
      <c r="A32" s="376" t="s">
        <v>131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2"/>
      <c r="P32" s="302"/>
      <c r="Q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  <c r="AI32" s="302"/>
      <c r="AJ32" s="302"/>
      <c r="AK32" s="302"/>
      <c r="AL32" s="302"/>
      <c r="AM32" s="302"/>
      <c r="AN32" s="302"/>
      <c r="AO32" s="302"/>
      <c r="AP32" s="302"/>
      <c r="AQ32" s="302"/>
      <c r="AR32" s="302"/>
      <c r="AS32" s="302"/>
    </row>
    <row r="33" spans="1:46" ht="27" hidden="1" thickBot="1">
      <c r="A33" s="376"/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2"/>
      <c r="P33" s="302"/>
      <c r="Q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986" t="s">
        <v>132</v>
      </c>
      <c r="AM33" s="987"/>
      <c r="AN33" s="988">
        <f>Assumptions!C19</f>
        <v>5282384.8278322117</v>
      </c>
      <c r="AO33" s="989"/>
      <c r="AP33" s="302"/>
      <c r="AQ33" s="302"/>
      <c r="AR33" s="302"/>
      <c r="AS33" s="302"/>
    </row>
    <row r="34" spans="1:46" ht="15" hidden="1" thickBot="1">
      <c r="A34" s="376"/>
      <c r="B34" s="1158" t="s">
        <v>81</v>
      </c>
      <c r="C34" s="1159"/>
      <c r="D34" s="1159"/>
      <c r="E34" s="1159"/>
      <c r="F34" s="1159"/>
      <c r="G34" s="1160"/>
      <c r="H34" s="1160"/>
      <c r="I34" s="1161" t="s">
        <v>70</v>
      </c>
      <c r="J34" s="1161"/>
      <c r="K34" s="1161"/>
      <c r="L34" s="1161"/>
      <c r="M34" s="1162" t="s">
        <v>71</v>
      </c>
      <c r="N34" s="1162"/>
      <c r="O34" s="1162"/>
      <c r="P34" s="1162"/>
      <c r="Q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2"/>
      <c r="AK34" s="302"/>
      <c r="AL34" s="302"/>
      <c r="AM34" s="302"/>
      <c r="AN34" s="302"/>
      <c r="AO34" s="302"/>
      <c r="AP34" s="302"/>
      <c r="AQ34" s="302"/>
      <c r="AR34" s="302"/>
      <c r="AS34" s="302"/>
    </row>
    <row r="35" spans="1:46" ht="51" hidden="1">
      <c r="B35" s="896" t="s">
        <v>133</v>
      </c>
      <c r="C35" s="897" t="s">
        <v>134</v>
      </c>
      <c r="D35" s="897" t="s">
        <v>135</v>
      </c>
      <c r="E35" s="897" t="s">
        <v>136</v>
      </c>
      <c r="F35" s="897" t="s">
        <v>137</v>
      </c>
      <c r="G35" s="897" t="s">
        <v>88</v>
      </c>
      <c r="H35" s="897" t="s">
        <v>89</v>
      </c>
      <c r="I35" s="881" t="s">
        <v>90</v>
      </c>
      <c r="J35" s="882" t="s">
        <v>91</v>
      </c>
      <c r="K35" s="882"/>
      <c r="L35" s="883" t="s">
        <v>3</v>
      </c>
      <c r="M35" s="879" t="s">
        <v>92</v>
      </c>
      <c r="N35" s="884" t="s">
        <v>93</v>
      </c>
      <c r="O35" s="884"/>
      <c r="P35" s="885" t="s">
        <v>3</v>
      </c>
      <c r="R35" s="449" t="s">
        <v>138</v>
      </c>
      <c r="S35" s="449" t="s">
        <v>139</v>
      </c>
      <c r="T35" s="449" t="s">
        <v>140</v>
      </c>
      <c r="U35" s="449" t="s">
        <v>141</v>
      </c>
      <c r="V35" s="465" t="s">
        <v>142</v>
      </c>
      <c r="W35" s="302"/>
      <c r="X35" s="990" t="s">
        <v>99</v>
      </c>
      <c r="Y35" s="990" t="s">
        <v>100</v>
      </c>
      <c r="Z35" s="990" t="s">
        <v>101</v>
      </c>
      <c r="AA35" s="990" t="s">
        <v>102</v>
      </c>
      <c r="AB35" s="990" t="s">
        <v>103</v>
      </c>
      <c r="AC35" s="990" t="s">
        <v>104</v>
      </c>
      <c r="AD35" s="990" t="s">
        <v>105</v>
      </c>
      <c r="AE35" s="1003" t="s">
        <v>143</v>
      </c>
      <c r="AF35" s="1003" t="s">
        <v>144</v>
      </c>
      <c r="AG35" s="1003" t="s">
        <v>145</v>
      </c>
      <c r="AH35" s="1003" t="s">
        <v>146</v>
      </c>
      <c r="AI35" s="1003" t="s">
        <v>147</v>
      </c>
      <c r="AJ35" s="1003" t="s">
        <v>148</v>
      </c>
      <c r="AK35" s="1004" t="s">
        <v>149</v>
      </c>
      <c r="AL35" s="1005" t="s">
        <v>113</v>
      </c>
      <c r="AM35" s="302"/>
      <c r="AN35" s="1006" t="s">
        <v>114</v>
      </c>
      <c r="AO35" s="1006" t="s">
        <v>115</v>
      </c>
      <c r="AP35" s="1030" t="s">
        <v>116</v>
      </c>
      <c r="AQ35" s="1031" t="s">
        <v>150</v>
      </c>
      <c r="AR35" s="1032" t="s">
        <v>118</v>
      </c>
      <c r="AS35" s="1033" t="s">
        <v>119</v>
      </c>
      <c r="AT35" s="963" t="s">
        <v>120</v>
      </c>
    </row>
    <row r="36" spans="1:46" ht="16.5" hidden="1" customHeight="1">
      <c r="A36" s="472" t="s">
        <v>47</v>
      </c>
      <c r="B36" s="892">
        <f>VLOOKUP($A36, 'Allocation Calculations_FY26'!$B$12:$G$49, 3, FALSE)</f>
        <v>35845053</v>
      </c>
      <c r="C36" s="892">
        <f>VLOOKUP($A36, OpCost[], 11, FALSE)</f>
        <v>31781736.333333332</v>
      </c>
      <c r="D36" s="893">
        <f>VLOOKUP($A36, Ridership[],11, FALSE)</f>
        <v>4326311</v>
      </c>
      <c r="E36" s="893">
        <f>VLOOKUP($A36, VRHsizing[], 11, FALSE)</f>
        <v>298646.4366666667</v>
      </c>
      <c r="F36" s="893">
        <f>VLOOKUP($A36, VRMsizing[],11, FALSE)</f>
        <v>2801647.3333333335</v>
      </c>
      <c r="G36" s="894">
        <f>IFERROR($I$11*(C36/C$46),0) + IFERROR($J$11*(D36/D$46),0) + IFERROR($K$11*(E36/E$46),0) + IFERROR($L$11*(F36/F$46),0)</f>
        <v>8.7157092838081929E-2</v>
      </c>
      <c r="H36" s="894">
        <f>IFERROR($M$11*(C36/C$46),0) + IFERROR($N$11*(D36/D$46),0) + IFERROR($O$11*(E36/E$46),0) + IFERROR($P$11*(F36/F$46),0)</f>
        <v>8.708045307334189E-2</v>
      </c>
      <c r="I36" s="886">
        <f>G36/SUM($G$36:$G$45)</f>
        <v>8.7157092838081929E-2</v>
      </c>
      <c r="J36" s="887">
        <f>MIN(0.3*LargeUrban!B36,LargeUrban!I36*Assumptions!$C$20)</f>
        <v>8534479.9277557191</v>
      </c>
      <c r="K36" s="887"/>
      <c r="L36" s="888">
        <f>I36*Assumptions!$C$20-LargeUrban!J36</f>
        <v>0</v>
      </c>
      <c r="M36" s="880">
        <f>H36/SUM($H$36:$H$45)</f>
        <v>8.708045307334189E-2</v>
      </c>
      <c r="N36" s="889">
        <f>MIN(0.3*B36,M36*Assumptions!$C$20)</f>
        <v>8526975.3115214799</v>
      </c>
      <c r="O36" s="889"/>
      <c r="P36" s="890">
        <f>M36*Assumptions!$C$20-N36</f>
        <v>0</v>
      </c>
      <c r="R36" s="457">
        <f>VLOOKUP($A36,OpCost[[Agency]:[FY25 Operating Cost Performance]], 5, FALSE)</f>
        <v>36047232</v>
      </c>
      <c r="S36" s="466">
        <f>VLOOKUP($A36,Ridership[[Agency]:[FY25 Ridership]], 5, FALSE)</f>
        <v>5351810</v>
      </c>
      <c r="T36" s="466">
        <f>VLOOKUP($A36,VRH[[Agency]:[FY25 Revenue Hours]], 4, FALSE)</f>
        <v>308856.31</v>
      </c>
      <c r="U36" s="466">
        <f>VLOOKUP($A36,VRM[[Agency]:[FY25 Revenue Miles]], 4, FALSE)</f>
        <v>3036654</v>
      </c>
      <c r="V36" s="466">
        <f>VLOOKUP(A36,PMT!$A$3:$D$12, 3, FALSE)</f>
        <v>12218923</v>
      </c>
      <c r="W36" s="302"/>
      <c r="X36" s="991">
        <f>S36/T36</f>
        <v>17.327831184669662</v>
      </c>
      <c r="Y36" s="991">
        <f t="shared" ref="Y36" si="53">S36/U36</f>
        <v>1.7624036192467103</v>
      </c>
      <c r="Z36" s="992">
        <f t="shared" ref="Z36" si="54">R36/T36</f>
        <v>116.71198169789699</v>
      </c>
      <c r="AA36" s="992">
        <f t="shared" ref="AA36" si="55">R36/U36</f>
        <v>11.870707693402014</v>
      </c>
      <c r="AB36" s="992">
        <f t="shared" ref="AB36" si="56">R36/S36</f>
        <v>6.7355216272625524</v>
      </c>
      <c r="AC36" s="993">
        <f t="shared" ref="AC36:AC42" si="57">IF(V36=0, "", V36/U36)</f>
        <v>4.0238114055799574</v>
      </c>
      <c r="AD36" s="993">
        <f t="shared" ref="AD36:AD42" si="58">IF(V36=0, "",V36/T36)</f>
        <v>39.561837023825092</v>
      </c>
      <c r="AE36" s="1007">
        <f>IF(X$12="Yes",(IF($W$6="Weighted Average",IF(X36&gt;=X$46,1,0),IF($W$6="MEDIAN",IF(X36&gt;=X$47,1,0),IF($W$6="MEAN",IF(X36&gt;=X$48,1,0),IF($W$6="PERCENTILE",IF(X36&gt;=X$49,1,0),IF(X36&gt;=X$50,1,0)) )))), 0)</f>
        <v>1</v>
      </c>
      <c r="AF36" s="1007">
        <f>IF(Y$12="Yes",(IF($W$6="Weighted Average",IF(Y36&gt;=Y$46,1,0),IF($W$6="MEDIAN",IF(Y36&gt;=Y$47,1,0),IF($W$6="MEAN",IF(Y36&gt;=Y$48,1,0),IF($W$6="PERCENTILE",IF(Y36&gt;=Y$49,1,0),IF(Y36&gt;=Y$50,1,0)) )))), 0)</f>
        <v>1</v>
      </c>
      <c r="AG36" s="1007">
        <f>IF(Z$12="Yes",(IF($W$6="Weighted Average",IF(Z36&lt;=Z$46,1,0),IF($W$6="MEDIAN",IF(Z36&lt;=Z$47,1,0),IF($W$6="MEAN",IF(Z36&lt;=Z$48,1,0),IF($W$6="PERCENTILE",IF(Z36&lt;=Z$49,1,0),IF(Z36&lt;=Z$50,1,0)) )))), 0)</f>
        <v>0</v>
      </c>
      <c r="AH36" s="1007">
        <f>IF(AA$12="Yes",(IF($W$6="Weighted Average",IF(AA36&lt;=AA$46,1,0),IF($W$6="MEDIAN",IF(AA36&lt;=AA$47,1,0),IF($W$6="MEAN",IF(AA36&lt;=AA$48,1,0),IF($W$6="PERCENTILE",IF(AA36&lt;=AA$49,1,0),IF(AA36&lt;=AA$50,1,0)) )))), 0)</f>
        <v>0</v>
      </c>
      <c r="AI36" s="1007">
        <f>IF(AB$12="Yes",(IF($W$6="Weighted Average",IF(AB36&lt;=AB$46,1,0),IF($W$6="MEDIAN",IF(AB36&lt;=AB$47,1,0),IF($W$6="MEAN",IF(AB36&lt;=AB$48,1,0),IF($W$6="PERCENTILE",IF(AB36&lt;=AB$49,1,0),IF(AB36&lt;=AB$50,1,0)) )))), 0)</f>
        <v>0</v>
      </c>
      <c r="AJ36" s="1007">
        <f>IF(AC$12="Yes",(IF($W$6="Weighted Average",IF(AC36&gt;=AC$46,1,0),IF($W$6="MEDIAN",IF(AC36&gt;=AC$47,1,0),IF($W$6="MEAN",IF(AC36&gt;=AC$48,1,0),IF($W$6="PERCENTILE",IF(AC36&gt;=AC$49,1,0)*IF(AC36="",0,1),IF(AC36&gt;=AC$50,1,0)) )))), 0)</f>
        <v>0</v>
      </c>
      <c r="AK36" s="1007">
        <f>IF(AD$12="Yes",(IF($W$6="Weighted Average",IF(AD36&gt;=AD$46,1,0),IF($W$6="MEDIAN",IF(AD36&gt;=AD$47,1,0),IF($W$6="MEAN",IF(AD36&gt;=AD$48,1,0),IF($W$6="PERCENTILE",IF(AD36&gt;=AD$49,1,0)*IF(AD36="",0,1),IF(AD36&gt;=AD$50,1,0)) )))), 0)</f>
        <v>0</v>
      </c>
      <c r="AL36" s="1008">
        <f>MIN(SUM(AE36:AK36),$AL$6)</f>
        <v>2</v>
      </c>
      <c r="AM36" s="302">
        <f>M36*AL36</f>
        <v>0.17416090614668378</v>
      </c>
      <c r="AN36" s="1011">
        <f>AM36/$AM$46</f>
        <v>0.13306621082465653</v>
      </c>
      <c r="AO36" s="1012">
        <f>AN36*$AN$33</f>
        <v>702906.93315728812</v>
      </c>
      <c r="AP36" s="1034">
        <f>AO36+N36</f>
        <v>9229882.2446787674</v>
      </c>
      <c r="AQ36" s="1020">
        <f>VLOOKUP(A36,'Allocation Calculations_FY26'!B12:CM49, 85, FALSE)</f>
        <v>10280105.257495381</v>
      </c>
      <c r="AR36" s="1021">
        <f>AP36-AQ36</f>
        <v>-1050223.0128166135</v>
      </c>
      <c r="AS36" s="1022">
        <f>AR36/AQ36</f>
        <v>-0.10216072564537994</v>
      </c>
      <c r="AT36" s="913">
        <f t="shared" ref="AT36:AT45" si="59">(AP36-AP54)/AP54</f>
        <v>0.1272262956913621</v>
      </c>
    </row>
    <row r="37" spans="1:46" ht="14.25" hidden="1">
      <c r="A37" s="472" t="s">
        <v>46</v>
      </c>
      <c r="B37" s="892">
        <f>VLOOKUP($A37, 'Allocation Calculations_FY26'!$B$12:$G$49, 3, FALSE)</f>
        <v>28281032</v>
      </c>
      <c r="C37" s="892">
        <f>VLOOKUP($A37, OpCost[], 11, FALSE)</f>
        <v>26090078.333333332</v>
      </c>
      <c r="D37" s="893">
        <f>VLOOKUP($A37, Ridership[],11, FALSE)</f>
        <v>2126919.3333333335</v>
      </c>
      <c r="E37" s="893">
        <f>VLOOKUP($A37, VRHsizing[], 11, FALSE)</f>
        <v>217197.66666666666</v>
      </c>
      <c r="F37" s="893">
        <f>VLOOKUP($A37, VRMsizing[],11, FALSE)</f>
        <v>2206320.3333333335</v>
      </c>
      <c r="G37" s="894">
        <f t="shared" ref="G37:G45" si="60">IFERROR($I$11*(C37/C$46),0) + IFERROR($J$11*(D37/D$46),0) + IFERROR($K$11*(E37/E$46),0) + IFERROR($L$11*(F37/F$46),0)</f>
        <v>5.8559076337754645E-2</v>
      </c>
      <c r="H37" s="894">
        <f t="shared" ref="H37:H45" si="61">IFERROR($M$11*(C37/C$46),0) + IFERROR($N$11*(D37/D$46),0) + IFERROR($O$11*(E37/E$46),0) + IFERROR($P$11*(F37/F$46),0)</f>
        <v>5.7997198548328202E-2</v>
      </c>
      <c r="I37" s="886">
        <f t="shared" ref="I37:I45" si="62">G37/SUM($G$36:$G$45)</f>
        <v>5.8559076337754645E-2</v>
      </c>
      <c r="J37" s="887">
        <f>MIN(0.3*LargeUrban!B37,LargeUrban!I37*Assumptions!$C$20)</f>
        <v>5734143.318902838</v>
      </c>
      <c r="K37" s="887"/>
      <c r="L37" s="888">
        <f>I37*Assumptions!$C$20-LargeUrban!J37</f>
        <v>0</v>
      </c>
      <c r="M37" s="880">
        <f t="shared" ref="M37:M45" si="63">H37/SUM($H$36:$H$45)</f>
        <v>5.7997198548328202E-2</v>
      </c>
      <c r="N37" s="889">
        <f>MIN(0.3*B37,M37*Assumptions!$C$20)</f>
        <v>5679123.8757392121</v>
      </c>
      <c r="O37" s="889"/>
      <c r="P37" s="890">
        <f>M37*Assumptions!$C$20-N37</f>
        <v>0</v>
      </c>
      <c r="R37" s="457">
        <f>VLOOKUP($A37,OpCost[[Agency]:[FY25 Operating Cost Performance]], 5, FALSE)</f>
        <v>28281032</v>
      </c>
      <c r="S37" s="466">
        <f>VLOOKUP($A37,Ridership[[Agency]:[FY25 Ridership]], 5, FALSE)</f>
        <v>2458738</v>
      </c>
      <c r="T37" s="466">
        <f>VLOOKUP($A37,VRH[[Agency]:[FY25 Revenue Hours]], 4, FALSE)</f>
        <v>230883</v>
      </c>
      <c r="U37" s="466">
        <f>VLOOKUP($A37,VRM[[Agency]:[FY25 Revenue Miles]], 4, FALSE)</f>
        <v>2205880</v>
      </c>
      <c r="V37" s="466">
        <f>VLOOKUP(A37,PMT!$A$3:$D$12, 3, FALSE)</f>
        <v>6139056</v>
      </c>
      <c r="W37" s="302"/>
      <c r="X37" s="991">
        <f>S37/T37</f>
        <v>10.649281237683155</v>
      </c>
      <c r="Y37" s="991">
        <f>S37/U37</f>
        <v>1.1146290822710212</v>
      </c>
      <c r="Z37" s="992">
        <f>R37/T37</f>
        <v>122.49075072655847</v>
      </c>
      <c r="AA37" s="992">
        <f>R37/U37</f>
        <v>12.820748182131394</v>
      </c>
      <c r="AB37" s="992">
        <f>R37/S37</f>
        <v>11.502255221987866</v>
      </c>
      <c r="AC37" s="993">
        <f t="shared" si="57"/>
        <v>2.7830416885778013</v>
      </c>
      <c r="AD37" s="993">
        <f t="shared" si="58"/>
        <v>26.589467392575461</v>
      </c>
      <c r="AE37" s="1007">
        <f t="shared" ref="AE37:AE45" si="64">IF(X$12="Yes",(IF($W$6="Weighted Average",IF(X37&gt;=X$46,1,0),IF($W$6="MEDIAN",IF(X37&gt;=X$47,1,0),IF($W$6="MEAN",IF(X37&gt;=X$48,1,0),IF($W$6="PERCENTILE",IF(X37&gt;=X$49,1,0),IF(X37&gt;=X$50,1,0)) )))), 0)</f>
        <v>0</v>
      </c>
      <c r="AF37" s="1007">
        <f t="shared" ref="AF37:AF45" si="65">IF(Y$12="Yes",(IF($W$6="Weighted Average",IF(Y37&gt;=Y$46,1,0),IF($W$6="MEDIAN",IF(Y37&gt;=Y$47,1,0),IF($W$6="MEAN",IF(Y37&gt;=Y$48,1,0),IF($W$6="PERCENTILE",IF(Y37&gt;=Y$49,1,0),IF(Y37&gt;=Y$50,1,0)) )))), 0)</f>
        <v>1</v>
      </c>
      <c r="AG37" s="1007">
        <f t="shared" ref="AG37:AG45" si="66">IF(Z$12="Yes",(IF($W$6="Weighted Average",IF(Z37&lt;=Z$46,1,0),IF($W$6="MEDIAN",IF(Z37&lt;=Z$47,1,0),IF($W$6="MEAN",IF(Z37&lt;=Z$48,1,0),IF($W$6="PERCENTILE",IF(Z37&lt;=Z$49,1,0),IF(Z37&lt;=Z$50,1,0)) )))), 0)</f>
        <v>0</v>
      </c>
      <c r="AH37" s="1007">
        <f t="shared" ref="AH37:AH45" si="67">IF(AA$12="Yes",(IF($W$6="Weighted Average",IF(AA37&lt;=AA$46,1,0),IF($W$6="MEDIAN",IF(AA37&lt;=AA$47,1,0),IF($W$6="MEAN",IF(AA37&lt;=AA$48,1,0),IF($W$6="PERCENTILE",IF(AA37&lt;=AA$49,1,0),IF(AA37&lt;=AA$50,1,0)) )))), 0)</f>
        <v>0</v>
      </c>
      <c r="AI37" s="1007">
        <f t="shared" ref="AI37:AI45" si="68">IF(AB$12="Yes",(IF($W$6="Weighted Average",IF(AB37&lt;=AB$46,1,0),IF($W$6="MEDIAN",IF(AB37&lt;=AB$47,1,0),IF($W$6="MEAN",IF(AB37&lt;=AB$48,1,0),IF($W$6="PERCENTILE",IF(AB37&lt;=AB$49,1,0),IF(AB37&lt;=AB$50,1,0)) )))), 0)</f>
        <v>0</v>
      </c>
      <c r="AJ37" s="1007">
        <f t="shared" ref="AJ37:AJ45" si="69">IF(AC$12="Yes",(IF($W$6="Weighted Average",IF(AC37&gt;=AC$46,1,0),IF($W$6="MEDIAN",IF(AC37&gt;=AC$47,1,0),IF($W$6="MEAN",IF(AC37&gt;=AC$48,1,0),IF($W$6="PERCENTILE",IF(AC37&gt;=AC$49,1,0)*IF(AC37="",0,1),IF(AC37&gt;=AC$50,1,0)) )))), 0)</f>
        <v>0</v>
      </c>
      <c r="AK37" s="1007">
        <f t="shared" ref="AK37:AK45" si="70">IF(AD$12="Yes",(IF($W$6="Weighted Average",IF(AD37&gt;=AD$46,1,0),IF($W$6="MEDIAN",IF(AD37&gt;=AD$47,1,0),IF($W$6="MEAN",IF(AD37&gt;=AD$48,1,0),IF($W$6="PERCENTILE",IF(AD37&gt;=AD$49,1,0)*IF(AD37="",0,1),IF(AD37&gt;=AD$50,1,0)) )))), 0)</f>
        <v>0</v>
      </c>
      <c r="AL37" s="1008">
        <f t="shared" ref="AL37:AL45" si="71">MIN(SUM(AE37:AK37),$AL$6)</f>
        <v>1</v>
      </c>
      <c r="AM37" s="302">
        <f t="shared" ref="AM37:AM45" si="72">M37*AL37</f>
        <v>5.7997198548328202E-2</v>
      </c>
      <c r="AN37" s="1011">
        <f t="shared" ref="AN37:AN45" si="73">AM37/$AM$46</f>
        <v>4.4312283508512594E-2</v>
      </c>
      <c r="AO37" s="1012">
        <f t="shared" ref="AO37:AO45" si="74">AN37*$AN$33</f>
        <v>234074.53409196646</v>
      </c>
      <c r="AP37" s="1034">
        <f t="shared" ref="AP37:AP45" si="75">AO37+N37</f>
        <v>5913198.4098311784</v>
      </c>
      <c r="AQ37" s="1020">
        <f>VLOOKUP(A37,'Allocation Calculations_FY26'!B13:CM50, 85, FALSE)</f>
        <v>5903647.0219985424</v>
      </c>
      <c r="AR37" s="1021">
        <f t="shared" ref="AR37:AR45" si="76">AP37-AQ37</f>
        <v>9551.3878326360136</v>
      </c>
      <c r="AS37" s="1022">
        <f t="shared" ref="AS37:AS45" si="77">AR37/AQ37</f>
        <v>1.6178792189040145E-3</v>
      </c>
      <c r="AT37" s="913">
        <f t="shared" si="59"/>
        <v>1.8290412589738715E-2</v>
      </c>
    </row>
    <row r="38" spans="1:46" ht="14.25" hidden="1">
      <c r="A38" s="472" t="s">
        <v>48</v>
      </c>
      <c r="B38" s="892">
        <f>VLOOKUP($A38, 'Allocation Calculations_FY26'!$B$12:$G$49, 3, FALSE)</f>
        <v>5453602</v>
      </c>
      <c r="C38" s="892">
        <f>VLOOKUP($A38, OpCost[], 11, FALSE)</f>
        <v>5376028</v>
      </c>
      <c r="D38" s="893">
        <f>VLOOKUP($A38, Ridership[],11, FALSE)</f>
        <v>773848</v>
      </c>
      <c r="E38" s="893">
        <f>VLOOKUP($A38, VRHsizing[], 11, FALSE)</f>
        <v>34736.666666666664</v>
      </c>
      <c r="F38" s="893">
        <f>VLOOKUP($A38, VRMsizing[],11, FALSE)</f>
        <v>435998.66666666669</v>
      </c>
      <c r="G38" s="894">
        <f t="shared" si="60"/>
        <v>1.4564551623840761E-2</v>
      </c>
      <c r="H38" s="894">
        <f t="shared" si="61"/>
        <v>1.4285448816916072E-2</v>
      </c>
      <c r="I38" s="886">
        <f t="shared" si="62"/>
        <v>1.4564551623840761E-2</v>
      </c>
      <c r="J38" s="887">
        <f>MIN(0.3*LargeUrban!B38,LargeUrban!I38*Assumptions!$C$20)</f>
        <v>1426170.4864497224</v>
      </c>
      <c r="K38" s="887"/>
      <c r="L38" s="888">
        <f>I38*Assumptions!$C$20-LargeUrban!J38</f>
        <v>0</v>
      </c>
      <c r="M38" s="880">
        <f t="shared" si="63"/>
        <v>1.4285448816916072E-2</v>
      </c>
      <c r="N38" s="889">
        <f>MIN(0.3*B38,M38*Assumptions!$C$20)</f>
        <v>1398840.5557933128</v>
      </c>
      <c r="O38" s="889"/>
      <c r="P38" s="890">
        <f>M38*Assumptions!$C$20-N38</f>
        <v>0</v>
      </c>
      <c r="R38" s="457">
        <f>VLOOKUP($A38,OpCost[[Agency]:[FY25 Operating Cost Performance]], 5, FALSE)</f>
        <v>5453602</v>
      </c>
      <c r="S38" s="466">
        <f>VLOOKUP($A38,Ridership[[Agency]:[FY25 Ridership]], 5, FALSE)</f>
        <v>1002134</v>
      </c>
      <c r="T38" s="466">
        <f>VLOOKUP($A38,VRH[[Agency]:[FY25 Revenue Hours]], 4, FALSE)</f>
        <v>34526</v>
      </c>
      <c r="U38" s="466">
        <f>VLOOKUP($A38,VRM[[Agency]:[FY25 Revenue Miles]], 4, FALSE)</f>
        <v>439291</v>
      </c>
      <c r="V38" s="466">
        <f>VLOOKUP(A38,PMT!$A$3:$D$12, 3, FALSE)</f>
        <v>2776562</v>
      </c>
      <c r="W38" s="302"/>
      <c r="X38" s="991">
        <f t="shared" ref="X38:X45" si="78">S38/T38</f>
        <v>29.025488038000347</v>
      </c>
      <c r="Y38" s="991">
        <f t="shared" ref="Y38:Y46" si="79">S38/U38</f>
        <v>2.2812532011809941</v>
      </c>
      <c r="Z38" s="992">
        <f t="shared" ref="Z38:Z46" si="80">R38/T38</f>
        <v>157.95638069860394</v>
      </c>
      <c r="AA38" s="992">
        <f t="shared" ref="AA38:AA46" si="81">R38/U38</f>
        <v>12.414554361459716</v>
      </c>
      <c r="AB38" s="992">
        <f t="shared" ref="AB38:AB46" si="82">R38/S38</f>
        <v>5.4419887959095288</v>
      </c>
      <c r="AC38" s="993">
        <f t="shared" si="57"/>
        <v>6.3205528909083046</v>
      </c>
      <c r="AD38" s="993">
        <f t="shared" si="58"/>
        <v>80.419452007182997</v>
      </c>
      <c r="AE38" s="1007">
        <f t="shared" si="64"/>
        <v>1</v>
      </c>
      <c r="AF38" s="1007">
        <f t="shared" si="65"/>
        <v>1</v>
      </c>
      <c r="AG38" s="1007">
        <f t="shared" si="66"/>
        <v>0</v>
      </c>
      <c r="AH38" s="1007">
        <f t="shared" si="67"/>
        <v>0</v>
      </c>
      <c r="AI38" s="1007">
        <f t="shared" si="68"/>
        <v>0</v>
      </c>
      <c r="AJ38" s="1007">
        <f t="shared" si="69"/>
        <v>1</v>
      </c>
      <c r="AK38" s="1007">
        <f t="shared" si="70"/>
        <v>1</v>
      </c>
      <c r="AL38" s="1008">
        <f t="shared" si="71"/>
        <v>4</v>
      </c>
      <c r="AM38" s="302">
        <f t="shared" si="72"/>
        <v>5.7141795267664289E-2</v>
      </c>
      <c r="AN38" s="1011">
        <f t="shared" si="73"/>
        <v>4.3658719653091101E-2</v>
      </c>
      <c r="AO38" s="1012">
        <f t="shared" si="74"/>
        <v>230622.15829806845</v>
      </c>
      <c r="AP38" s="1034">
        <f t="shared" si="75"/>
        <v>1629462.7140913813</v>
      </c>
      <c r="AQ38" s="1020">
        <f>VLOOKUP(A38,'Allocation Calculations_FY26'!B14:CM51, 85, FALSE)</f>
        <v>1636080.5999999999</v>
      </c>
      <c r="AR38" s="1021">
        <f t="shared" si="76"/>
        <v>-6617.8859086185694</v>
      </c>
      <c r="AS38" s="1022">
        <f t="shared" si="77"/>
        <v>-4.0449632546334024E-3</v>
      </c>
      <c r="AT38" s="913">
        <f t="shared" si="59"/>
        <v>7.6998992011360415E-2</v>
      </c>
    </row>
    <row r="39" spans="1:46" ht="14.25" hidden="1">
      <c r="A39" s="472" t="s">
        <v>49</v>
      </c>
      <c r="B39" s="892">
        <f>VLOOKUP($A39, 'Allocation Calculations_FY26'!$B$12:$G$49, 3, FALSE)</f>
        <v>110780790</v>
      </c>
      <c r="C39" s="892">
        <f>VLOOKUP($A39, OpCost[], 11, FALSE)</f>
        <v>107816066.33333333</v>
      </c>
      <c r="D39" s="893">
        <f>VLOOKUP($A39, Ridership[],11, FALSE)</f>
        <v>7426049.666666667</v>
      </c>
      <c r="E39" s="893">
        <f>VLOOKUP($A39, VRHsizing[], 11, FALSE)</f>
        <v>836979.91233333328</v>
      </c>
      <c r="F39" s="893">
        <f>VLOOKUP($A39, VRMsizing[],11, FALSE)</f>
        <v>10943584.071</v>
      </c>
      <c r="G39" s="894">
        <f t="shared" si="60"/>
        <v>0.23255529076958856</v>
      </c>
      <c r="H39" s="894">
        <f t="shared" si="61"/>
        <v>0.23125254732048287</v>
      </c>
      <c r="I39" s="886">
        <f t="shared" si="62"/>
        <v>0.23255529076958856</v>
      </c>
      <c r="J39" s="887">
        <f>MIN(0.3*LargeUrban!B39,LargeUrban!I39*Assumptions!$C$20)</f>
        <v>22771967.220770445</v>
      </c>
      <c r="K39" s="887"/>
      <c r="L39" s="888">
        <f>I39*Assumptions!$C$20-LargeUrban!J39</f>
        <v>0</v>
      </c>
      <c r="M39" s="880">
        <f t="shared" si="63"/>
        <v>0.23125254732048287</v>
      </c>
      <c r="N39" s="889">
        <f>MIN(0.3*B39,M39*Assumptions!$C$20)</f>
        <v>22644401.724316098</v>
      </c>
      <c r="O39" s="889"/>
      <c r="P39" s="890">
        <f>M39*Assumptions!$C$20-N39</f>
        <v>0</v>
      </c>
      <c r="R39" s="457">
        <f>VLOOKUP($A39,OpCost[[Agency]:[FY25 Operating Cost Performance]], 5, FALSE)</f>
        <v>111168383</v>
      </c>
      <c r="S39" s="466">
        <f>VLOOKUP($A39,Ridership[[Agency]:[FY25 Ridership]], 5, FALSE)</f>
        <v>8721363</v>
      </c>
      <c r="T39" s="466">
        <f>VLOOKUP($A39,VRH[[Agency]:[FY25 Revenue Hours]], 4, FALSE)</f>
        <v>819202.73699999996</v>
      </c>
      <c r="U39" s="466">
        <f>VLOOKUP($A39,VRM[[Agency]:[FY25 Revenue Miles]], 4, FALSE)</f>
        <v>11068404</v>
      </c>
      <c r="V39" s="466">
        <f>VLOOKUP(A39,PMT!$A$3:$D$12, 3, FALSE)</f>
        <v>46234765</v>
      </c>
      <c r="W39" s="302"/>
      <c r="X39" s="991">
        <f t="shared" si="78"/>
        <v>10.646159498854312</v>
      </c>
      <c r="Y39" s="991">
        <f t="shared" si="79"/>
        <v>0.78795127102335616</v>
      </c>
      <c r="Z39" s="992">
        <f t="shared" si="80"/>
        <v>135.70313913636252</v>
      </c>
      <c r="AA39" s="992">
        <f t="shared" si="81"/>
        <v>10.043759064089095</v>
      </c>
      <c r="AB39" s="992">
        <f t="shared" si="82"/>
        <v>12.746675376314458</v>
      </c>
      <c r="AC39" s="993">
        <f t="shared" si="57"/>
        <v>4.1771844432133127</v>
      </c>
      <c r="AD39" s="993">
        <f t="shared" si="58"/>
        <v>56.438733553694171</v>
      </c>
      <c r="AE39" s="1007">
        <f t="shared" si="64"/>
        <v>0</v>
      </c>
      <c r="AF39" s="1007">
        <f t="shared" si="65"/>
        <v>0</v>
      </c>
      <c r="AG39" s="1007">
        <f t="shared" si="66"/>
        <v>0</v>
      </c>
      <c r="AH39" s="1007">
        <f t="shared" si="67"/>
        <v>0</v>
      </c>
      <c r="AI39" s="1007">
        <f t="shared" si="68"/>
        <v>0</v>
      </c>
      <c r="AJ39" s="1007">
        <f t="shared" si="69"/>
        <v>0</v>
      </c>
      <c r="AK39" s="1007">
        <f t="shared" si="70"/>
        <v>0</v>
      </c>
      <c r="AL39" s="1008">
        <f t="shared" si="71"/>
        <v>0</v>
      </c>
      <c r="AM39" s="302">
        <f t="shared" si="72"/>
        <v>0</v>
      </c>
      <c r="AN39" s="1011">
        <f t="shared" si="73"/>
        <v>0</v>
      </c>
      <c r="AO39" s="1012">
        <f t="shared" si="74"/>
        <v>0</v>
      </c>
      <c r="AP39" s="1034">
        <f t="shared" si="75"/>
        <v>22644401.724316098</v>
      </c>
      <c r="AQ39" s="1020">
        <f>VLOOKUP(A39,'Allocation Calculations_FY26'!B15:CM52, 85, FALSE)</f>
        <v>23974960.475960296</v>
      </c>
      <c r="AR39" s="1021">
        <f t="shared" si="76"/>
        <v>-1330558.7516441979</v>
      </c>
      <c r="AS39" s="1022">
        <f t="shared" si="77"/>
        <v>-5.5497849641018171E-2</v>
      </c>
      <c r="AT39" s="913">
        <f t="shared" si="59"/>
        <v>-2.3477625457092352E-2</v>
      </c>
    </row>
    <row r="40" spans="1:46" ht="14.25" hidden="1">
      <c r="A40" s="472" t="s">
        <v>33</v>
      </c>
      <c r="B40" s="892">
        <f>VLOOKUP($A40, 'Allocation Calculations_FY26'!$B$12:$G$49, 3, FALSE)</f>
        <v>25291520</v>
      </c>
      <c r="C40" s="892">
        <f>VLOOKUP($A40, OpCost[], 11, FALSE)</f>
        <v>19937778.666666668</v>
      </c>
      <c r="D40" s="893">
        <f>VLOOKUP($A40, Ridership[],11, FALSE)</f>
        <v>546555</v>
      </c>
      <c r="E40" s="893">
        <f>VLOOKUP($A40, VRHsizing[], 11, FALSE)</f>
        <v>130087.64000000001</v>
      </c>
      <c r="F40" s="893">
        <f>VLOOKUP($A40, VRMsizing[],11, FALSE)</f>
        <v>2911325.1666666665</v>
      </c>
      <c r="G40" s="894">
        <f t="shared" si="60"/>
        <v>3.7173960116277327E-2</v>
      </c>
      <c r="H40" s="894">
        <f t="shared" si="61"/>
        <v>3.7496827695825095E-2</v>
      </c>
      <c r="I40" s="886">
        <f t="shared" si="62"/>
        <v>3.7173960116277327E-2</v>
      </c>
      <c r="J40" s="887">
        <f>MIN(0.3*LargeUrban!B40,LargeUrban!I40*Assumptions!$C$20)</f>
        <v>3640098.6553895073</v>
      </c>
      <c r="K40" s="887"/>
      <c r="L40" s="888">
        <f>I40*Assumptions!$C$20-LargeUrban!J40</f>
        <v>0</v>
      </c>
      <c r="M40" s="880">
        <f t="shared" si="63"/>
        <v>3.7496827695825095E-2</v>
      </c>
      <c r="N40" s="889">
        <f>MIN(0.3*B40,M40*Assumptions!$C$20)</f>
        <v>3671714.061402333</v>
      </c>
      <c r="O40" s="889"/>
      <c r="P40" s="890">
        <f>M40*Assumptions!$C$20-N40</f>
        <v>0</v>
      </c>
      <c r="R40" s="457">
        <f>VLOOKUP($A40,OpCost[[Agency]:[FY25 Operating Cost Performance]], 5, FALSE)</f>
        <v>25291520</v>
      </c>
      <c r="S40" s="466">
        <f>VLOOKUP($A40,Ridership[[Agency]:[FY25 Ridership]], 5, FALSE)</f>
        <v>690676</v>
      </c>
      <c r="T40" s="466">
        <f>VLOOKUP($A40,VRH[[Agency]:[FY25 Revenue Hours]], 4, FALSE)</f>
        <v>160073</v>
      </c>
      <c r="U40" s="466">
        <f>VLOOKUP($A40,VRM[[Agency]:[FY25 Revenue Miles]], 4, FALSE)</f>
        <v>2090076</v>
      </c>
      <c r="V40" s="466">
        <f>VLOOKUP(A40,PMT!$A$3:$D$12, 3, FALSE)</f>
        <v>10505471</v>
      </c>
      <c r="W40" s="302"/>
      <c r="X40" s="991">
        <f t="shared" si="78"/>
        <v>4.3147563923959691</v>
      </c>
      <c r="Y40" s="991">
        <f t="shared" si="79"/>
        <v>0.33045496910160205</v>
      </c>
      <c r="Z40" s="992">
        <f t="shared" si="80"/>
        <v>157.99991253990368</v>
      </c>
      <c r="AA40" s="992">
        <f t="shared" si="81"/>
        <v>12.100765713782657</v>
      </c>
      <c r="AB40" s="992">
        <f t="shared" si="82"/>
        <v>36.618501294384053</v>
      </c>
      <c r="AC40" s="993">
        <f t="shared" si="57"/>
        <v>5.0263583716572988</v>
      </c>
      <c r="AD40" s="993">
        <f t="shared" si="58"/>
        <v>65.62925040450294</v>
      </c>
      <c r="AE40" s="1007">
        <f t="shared" si="64"/>
        <v>0</v>
      </c>
      <c r="AF40" s="1007">
        <f t="shared" si="65"/>
        <v>0</v>
      </c>
      <c r="AG40" s="1007">
        <f t="shared" si="66"/>
        <v>0</v>
      </c>
      <c r="AH40" s="1007">
        <f t="shared" si="67"/>
        <v>0</v>
      </c>
      <c r="AI40" s="1007">
        <f t="shared" si="68"/>
        <v>0</v>
      </c>
      <c r="AJ40" s="1007">
        <f t="shared" si="69"/>
        <v>1</v>
      </c>
      <c r="AK40" s="1007">
        <f t="shared" si="70"/>
        <v>1</v>
      </c>
      <c r="AL40" s="1008">
        <f t="shared" si="71"/>
        <v>2</v>
      </c>
      <c r="AM40" s="302">
        <f t="shared" si="72"/>
        <v>7.4993655391650191E-2</v>
      </c>
      <c r="AN40" s="1011">
        <f t="shared" si="73"/>
        <v>5.7298286852344671E-2</v>
      </c>
      <c r="AO40" s="1012">
        <f t="shared" si="74"/>
        <v>302671.6011296034</v>
      </c>
      <c r="AP40" s="1034">
        <f t="shared" si="75"/>
        <v>3974385.6625319365</v>
      </c>
      <c r="AQ40" s="1020">
        <f>VLOOKUP(A40,'Allocation Calculations_FY26'!B16:CM53, 85, FALSE)</f>
        <v>4616922.7806974938</v>
      </c>
      <c r="AR40" s="1021">
        <f t="shared" si="76"/>
        <v>-642537.11816555727</v>
      </c>
      <c r="AS40" s="1022">
        <f t="shared" si="77"/>
        <v>-0.13916999453659631</v>
      </c>
      <c r="AT40" s="913">
        <f t="shared" si="59"/>
        <v>8.0525316305118416E-2</v>
      </c>
    </row>
    <row r="41" spans="1:46" ht="14.25" hidden="1">
      <c r="A41" s="472" t="s">
        <v>39</v>
      </c>
      <c r="B41" s="892">
        <f>VLOOKUP($A41, 'Allocation Calculations_FY26'!$B$12:$G$49, 3, FALSE)</f>
        <v>74193463</v>
      </c>
      <c r="C41" s="892">
        <f>VLOOKUP($A41, OpCost[], 11, FALSE)</f>
        <v>67901067.666666672</v>
      </c>
      <c r="D41" s="893">
        <f>VLOOKUP($A41, Ridership[],11, FALSE)</f>
        <v>9762427</v>
      </c>
      <c r="E41" s="893">
        <f>VLOOKUP($A41, VRHsizing[], 11, FALSE)</f>
        <v>602197.59666666668</v>
      </c>
      <c r="F41" s="893">
        <f>VLOOKUP($A41, VRMsizing[],11, FALSE)</f>
        <v>7369054.0199999996</v>
      </c>
      <c r="G41" s="894">
        <f t="shared" si="60"/>
        <v>0.19241390747455722</v>
      </c>
      <c r="H41" s="894">
        <f t="shared" si="61"/>
        <v>0.19316662636141613</v>
      </c>
      <c r="I41" s="886">
        <f t="shared" si="62"/>
        <v>0.19241390747455722</v>
      </c>
      <c r="J41" s="887">
        <f>MIN(0.3*LargeUrban!B41,LargeUrban!I41*Assumptions!$C$20)</f>
        <v>18841296.533529416</v>
      </c>
      <c r="K41" s="887"/>
      <c r="L41" s="888">
        <f>I41*Assumptions!$C$20-LargeUrban!J41</f>
        <v>0</v>
      </c>
      <c r="M41" s="880">
        <f t="shared" si="63"/>
        <v>0.19316662636141613</v>
      </c>
      <c r="N41" s="889">
        <f>MIN(0.3*B41,M41*Assumptions!$C$20)</f>
        <v>18915003.26263148</v>
      </c>
      <c r="O41" s="889"/>
      <c r="P41" s="890">
        <f>M41*Assumptions!$C$20-N41</f>
        <v>0</v>
      </c>
      <c r="R41" s="457">
        <f>VLOOKUP($A41,OpCost[[Agency]:[FY25 Operating Cost Performance]], 5, FALSE)</f>
        <v>76532753</v>
      </c>
      <c r="S41" s="466">
        <f>VLOOKUP($A41,Ridership[[Agency]:[FY25 Ridership]], 5, FALSE)</f>
        <v>10824111</v>
      </c>
      <c r="T41" s="466">
        <f>VLOOKUP($A41,VRH[[Agency]:[FY25 Revenue Hours]], 4, FALSE)</f>
        <v>631194</v>
      </c>
      <c r="U41" s="466">
        <f>VLOOKUP($A41,VRM[[Agency]:[FY25 Revenue Miles]], 4, FALSE)</f>
        <v>6987882</v>
      </c>
      <c r="V41" s="466">
        <f>VLOOKUP(A41,PMT!$A$3:$D$12, 3, FALSE)</f>
        <v>52660703</v>
      </c>
      <c r="W41" s="302"/>
      <c r="X41" s="991">
        <f t="shared" si="78"/>
        <v>17.148627838667668</v>
      </c>
      <c r="Y41" s="991">
        <f t="shared" si="79"/>
        <v>1.548983082427551</v>
      </c>
      <c r="Z41" s="992">
        <f t="shared" si="80"/>
        <v>121.25076125565198</v>
      </c>
      <c r="AA41" s="992">
        <f t="shared" si="81"/>
        <v>10.952210269148793</v>
      </c>
      <c r="AB41" s="992">
        <f t="shared" si="82"/>
        <v>7.0705809465553333</v>
      </c>
      <c r="AC41" s="993">
        <f t="shared" si="57"/>
        <v>7.5360034700070777</v>
      </c>
      <c r="AD41" s="993">
        <f t="shared" si="58"/>
        <v>83.430297182799578</v>
      </c>
      <c r="AE41" s="1007">
        <f t="shared" si="64"/>
        <v>1</v>
      </c>
      <c r="AF41" s="1007">
        <f t="shared" si="65"/>
        <v>1</v>
      </c>
      <c r="AG41" s="1007">
        <f t="shared" si="66"/>
        <v>0</v>
      </c>
      <c r="AH41" s="1007">
        <f t="shared" si="67"/>
        <v>0</v>
      </c>
      <c r="AI41" s="1007">
        <f t="shared" si="68"/>
        <v>0</v>
      </c>
      <c r="AJ41" s="1007">
        <f t="shared" si="69"/>
        <v>1</v>
      </c>
      <c r="AK41" s="1007">
        <f t="shared" si="70"/>
        <v>1</v>
      </c>
      <c r="AL41" s="1008">
        <f t="shared" si="71"/>
        <v>4</v>
      </c>
      <c r="AM41" s="302">
        <f t="shared" si="72"/>
        <v>0.77266650544566451</v>
      </c>
      <c r="AN41" s="1011">
        <f t="shared" si="73"/>
        <v>0.59034950142133924</v>
      </c>
      <c r="AO41" s="1012">
        <f t="shared" si="74"/>
        <v>3118453.2494263933</v>
      </c>
      <c r="AP41" s="1034">
        <f t="shared" si="75"/>
        <v>22033456.512057874</v>
      </c>
      <c r="AQ41" s="1020">
        <f>VLOOKUP(A41,'Allocation Calculations_FY26'!B17:CM54, 85, FALSE)</f>
        <v>18779006.748223707</v>
      </c>
      <c r="AR41" s="1021">
        <f t="shared" si="76"/>
        <v>3254449.7638341673</v>
      </c>
      <c r="AS41" s="1022">
        <f t="shared" si="77"/>
        <v>0.17330255042067139</v>
      </c>
      <c r="AT41" s="913">
        <f t="shared" si="59"/>
        <v>-2.0367116746914639E-2</v>
      </c>
    </row>
    <row r="42" spans="1:46" ht="14.25" hidden="1">
      <c r="A42" s="472" t="s">
        <v>42</v>
      </c>
      <c r="B42" s="892">
        <f>VLOOKUP($A42, 'Allocation Calculations_FY26'!$B$12:$G$49, 3, FALSE)</f>
        <v>129210017</v>
      </c>
      <c r="C42" s="892">
        <f>VLOOKUP($A42, OpCost[], 11, FALSE)</f>
        <v>116459371</v>
      </c>
      <c r="D42" s="893">
        <f>VLOOKUP($A42, Ridership[],11, FALSE)</f>
        <v>7363433.666666667</v>
      </c>
      <c r="E42" s="893">
        <f>VLOOKUP($A42, VRHsizing[], 11, FALSE)</f>
        <v>948287.78333333333</v>
      </c>
      <c r="F42" s="893">
        <f>VLOOKUP($A42, VRMsizing[],11, FALSE)</f>
        <v>13423174.912199998</v>
      </c>
      <c r="G42" s="894">
        <f t="shared" si="60"/>
        <v>0.2502488208583144</v>
      </c>
      <c r="H42" s="894">
        <f t="shared" si="61"/>
        <v>0.25113583053734861</v>
      </c>
      <c r="I42" s="886">
        <f t="shared" si="62"/>
        <v>0.2502488208583144</v>
      </c>
      <c r="J42" s="887">
        <f>MIN(0.3*LargeUrban!B42,LargeUrban!I42*Assumptions!$C$20)</f>
        <v>24504529.33908141</v>
      </c>
      <c r="K42" s="887"/>
      <c r="L42" s="888">
        <f>I42*Assumptions!$C$20-LargeUrban!J42</f>
        <v>0</v>
      </c>
      <c r="M42" s="880">
        <f t="shared" si="63"/>
        <v>0.25113583053734861</v>
      </c>
      <c r="N42" s="889">
        <f>MIN(0.3*B42,M42*Assumptions!$C$20)</f>
        <v>24591385.910990093</v>
      </c>
      <c r="O42" s="889"/>
      <c r="P42" s="890">
        <f>M42*Assumptions!$C$20-N42</f>
        <v>0</v>
      </c>
      <c r="R42" s="457">
        <f>VLOOKUP($A42,OpCost[[Agency]:[FY25 Operating Cost Performance]], 5, FALSE)</f>
        <v>129442718</v>
      </c>
      <c r="S42" s="466">
        <f>VLOOKUP($A42,Ridership[[Agency]:[FY25 Ridership]], 5, FALSE)</f>
        <v>8574727</v>
      </c>
      <c r="T42" s="466">
        <f>VLOOKUP($A42,VRH[[Agency]:[FY25 Revenue Hours]], 4, FALSE)</f>
        <v>1002985.3500000001</v>
      </c>
      <c r="U42" s="466">
        <f>VLOOKUP($A42,VRM[[Agency]:[FY25 Revenue Miles]], 4, FALSE)</f>
        <v>13757219</v>
      </c>
      <c r="V42" s="466">
        <f>VLOOKUP(A42,PMT!$A$3:$D$12, 3, FALSE)</f>
        <v>42920065</v>
      </c>
      <c r="W42" s="302"/>
      <c r="X42" s="991">
        <f t="shared" si="78"/>
        <v>8.5492046319520014</v>
      </c>
      <c r="Y42" s="991">
        <f t="shared" si="79"/>
        <v>0.62328927089115904</v>
      </c>
      <c r="Z42" s="992">
        <f t="shared" si="80"/>
        <v>129.05743638229609</v>
      </c>
      <c r="AA42" s="992">
        <f t="shared" si="81"/>
        <v>9.4090759186140751</v>
      </c>
      <c r="AB42" s="992">
        <f t="shared" si="82"/>
        <v>15.095841302002967</v>
      </c>
      <c r="AC42" s="993">
        <f t="shared" si="57"/>
        <v>3.1198213098155958</v>
      </c>
      <c r="AD42" s="993">
        <f t="shared" si="58"/>
        <v>42.792314962526618</v>
      </c>
      <c r="AE42" s="1007">
        <f t="shared" si="64"/>
        <v>0</v>
      </c>
      <c r="AF42" s="1007">
        <f t="shared" si="65"/>
        <v>0</v>
      </c>
      <c r="AG42" s="1007">
        <f t="shared" si="66"/>
        <v>0</v>
      </c>
      <c r="AH42" s="1007">
        <f t="shared" si="67"/>
        <v>0</v>
      </c>
      <c r="AI42" s="1007">
        <f t="shared" si="68"/>
        <v>0</v>
      </c>
      <c r="AJ42" s="1007">
        <f t="shared" si="69"/>
        <v>0</v>
      </c>
      <c r="AK42" s="1007">
        <f t="shared" si="70"/>
        <v>0</v>
      </c>
      <c r="AL42" s="1008">
        <f t="shared" si="71"/>
        <v>0</v>
      </c>
      <c r="AM42" s="302">
        <f t="shared" si="72"/>
        <v>0</v>
      </c>
      <c r="AN42" s="1011">
        <f t="shared" si="73"/>
        <v>0</v>
      </c>
      <c r="AO42" s="1012">
        <f t="shared" si="74"/>
        <v>0</v>
      </c>
      <c r="AP42" s="1034">
        <f t="shared" si="75"/>
        <v>24591385.910990093</v>
      </c>
      <c r="AQ42" s="1020">
        <f>VLOOKUP(A42,'Allocation Calculations_FY26'!B18:CM55, 85, FALSE)</f>
        <v>24837287.914854791</v>
      </c>
      <c r="AR42" s="1021">
        <f t="shared" si="76"/>
        <v>-245902.00386469811</v>
      </c>
      <c r="AS42" s="1022">
        <f t="shared" si="77"/>
        <v>-9.9005175085009178E-3</v>
      </c>
      <c r="AT42" s="913">
        <f t="shared" si="59"/>
        <v>-4.754099081135512E-2</v>
      </c>
    </row>
    <row r="43" spans="1:46" ht="14.25" hidden="1">
      <c r="A43" s="472" t="s">
        <v>29</v>
      </c>
      <c r="B43" s="892">
        <f>VLOOKUP($A43, 'Allocation Calculations_FY26'!$B$12:$G$49, 3, FALSE)</f>
        <v>3929042</v>
      </c>
      <c r="C43" s="892">
        <f>VLOOKUP($A43, OpCost[], 11, FALSE)</f>
        <v>4248718.333333333</v>
      </c>
      <c r="D43" s="893">
        <f>VLOOKUP($A43, Ridership[],11, FALSE)</f>
        <v>450496.33333333331</v>
      </c>
      <c r="E43" s="893">
        <f>VLOOKUP($A43, VRHsizing[], 11, FALSE)</f>
        <v>44236.666666666664</v>
      </c>
      <c r="F43" s="893">
        <f>VLOOKUP($A43, VRMsizing[],11, FALSE)</f>
        <v>548982.33333333337</v>
      </c>
      <c r="G43" s="894">
        <f t="shared" si="60"/>
        <v>1.1060408086110671E-2</v>
      </c>
      <c r="H43" s="894">
        <f t="shared" si="61"/>
        <v>1.1292737803799429E-2</v>
      </c>
      <c r="I43" s="886">
        <f t="shared" si="62"/>
        <v>1.1060408086110671E-2</v>
      </c>
      <c r="J43" s="887">
        <f>MIN(0.3*LargeUrban!B43,LargeUrban!I43*Assumptions!$C$20)</f>
        <v>1083042.4435916273</v>
      </c>
      <c r="K43" s="887"/>
      <c r="L43" s="888">
        <f>I43*Assumptions!$C$20-LargeUrban!J43</f>
        <v>0</v>
      </c>
      <c r="M43" s="880">
        <f t="shared" si="63"/>
        <v>1.1292737803799429E-2</v>
      </c>
      <c r="N43" s="889">
        <f>MIN(0.3*B43,M43*Assumptions!$C$20)</f>
        <v>1105792.3225477722</v>
      </c>
      <c r="O43" s="889"/>
      <c r="P43" s="890">
        <f>M43*Assumptions!$C$20-N43</f>
        <v>0</v>
      </c>
      <c r="R43" s="457">
        <f>VLOOKUP($A43,OpCost[[Agency]:[FY25 Operating Cost Performance]], 5, FALSE)</f>
        <v>3929042</v>
      </c>
      <c r="S43" s="466">
        <f>VLOOKUP($A43,Ridership[[Agency]:[FY25 Ridership]], 5, FALSE)</f>
        <v>471466</v>
      </c>
      <c r="T43" s="466">
        <f>VLOOKUP($A43,VRH[[Agency]:[FY25 Revenue Hours]], 4, FALSE)</f>
        <v>41575</v>
      </c>
      <c r="U43" s="466">
        <f>VLOOKUP($A43,VRM[[Agency]:[FY25 Revenue Miles]], 4, FALSE)</f>
        <v>553318</v>
      </c>
      <c r="V43" s="466">
        <f>VLOOKUP(A43,PMT!$A$3:$D$12, 3, FALSE)</f>
        <v>0</v>
      </c>
      <c r="W43" s="302"/>
      <c r="X43" s="991">
        <f t="shared" si="78"/>
        <v>11.340132291040289</v>
      </c>
      <c r="Y43" s="991">
        <f t="shared" si="79"/>
        <v>0.85207059954673448</v>
      </c>
      <c r="Z43" s="992">
        <f t="shared" si="80"/>
        <v>94.504918821407102</v>
      </c>
      <c r="AA43" s="992">
        <f t="shared" si="81"/>
        <v>7.1008750844902933</v>
      </c>
      <c r="AB43" s="992">
        <f t="shared" si="82"/>
        <v>8.3336698722707467</v>
      </c>
      <c r="AC43" s="993" t="str">
        <f>IF(V43=0, "", V43/U43)</f>
        <v/>
      </c>
      <c r="AD43" s="993" t="str">
        <f>IF(V43=0, "",V43/T43)</f>
        <v/>
      </c>
      <c r="AE43" s="1007">
        <f t="shared" si="64"/>
        <v>1</v>
      </c>
      <c r="AF43" s="1007">
        <f t="shared" si="65"/>
        <v>0</v>
      </c>
      <c r="AG43" s="1007">
        <f t="shared" si="66"/>
        <v>0</v>
      </c>
      <c r="AH43" s="1007">
        <f t="shared" si="67"/>
        <v>0</v>
      </c>
      <c r="AI43" s="1007">
        <f t="shared" si="68"/>
        <v>0</v>
      </c>
      <c r="AJ43" s="1007">
        <f t="shared" si="69"/>
        <v>0</v>
      </c>
      <c r="AK43" s="1007">
        <f t="shared" si="70"/>
        <v>0</v>
      </c>
      <c r="AL43" s="1008">
        <f t="shared" si="71"/>
        <v>1</v>
      </c>
      <c r="AM43" s="302">
        <f t="shared" si="72"/>
        <v>1.1292737803799429E-2</v>
      </c>
      <c r="AN43" s="1011">
        <f t="shared" si="73"/>
        <v>8.6281236279417261E-3</v>
      </c>
      <c r="AO43" s="1012">
        <f t="shared" si="74"/>
        <v>45577.069344899995</v>
      </c>
      <c r="AP43" s="1034">
        <f t="shared" si="75"/>
        <v>1151369.3918926723</v>
      </c>
      <c r="AQ43" s="1020">
        <f>VLOOKUP(A43,'Allocation Calculations_FY26'!B19:CM56, 85, FALSE)</f>
        <v>1036983.6780129499</v>
      </c>
      <c r="AR43" s="1021">
        <f t="shared" si="76"/>
        <v>114385.7138797224</v>
      </c>
      <c r="AS43" s="1022">
        <f t="shared" si="77"/>
        <v>0.11030618543476627</v>
      </c>
      <c r="AT43" s="913">
        <f t="shared" si="59"/>
        <v>-5.1870134236489021E-2</v>
      </c>
    </row>
    <row r="44" spans="1:46" ht="14.25" hidden="1">
      <c r="A44" s="472" t="s">
        <v>40</v>
      </c>
      <c r="B44" s="892">
        <f>VLOOKUP($A44, 'Allocation Calculations_FY26'!$B$12:$G$49, 3, FALSE)</f>
        <v>14257696</v>
      </c>
      <c r="C44" s="892">
        <f>VLOOKUP($A44, OpCost[], 11, FALSE)</f>
        <v>12564045</v>
      </c>
      <c r="D44" s="893">
        <f>VLOOKUP($A44, Ridership[],11, FALSE)</f>
        <v>1272749.6666666667</v>
      </c>
      <c r="E44" s="893">
        <f>VLOOKUP($A44, VRHsizing[], 11, FALSE)</f>
        <v>146794.33333333334</v>
      </c>
      <c r="F44" s="893">
        <f>VLOOKUP($A44, VRMsizing[],11, FALSE)</f>
        <v>2403046.3333333335</v>
      </c>
      <c r="G44" s="894">
        <f t="shared" si="60"/>
        <v>3.4280457353675679E-2</v>
      </c>
      <c r="H44" s="894">
        <f t="shared" si="61"/>
        <v>3.6004264843734944E-2</v>
      </c>
      <c r="I44" s="886">
        <f t="shared" si="62"/>
        <v>3.4280457353675679E-2</v>
      </c>
      <c r="J44" s="887">
        <f>MIN(0.3*LargeUrban!B44,LargeUrban!I44*Assumptions!$C$20)</f>
        <v>3356764.9593677009</v>
      </c>
      <c r="K44" s="887"/>
      <c r="L44" s="888">
        <f>I44*Assumptions!$C$20-LargeUrban!J44</f>
        <v>0</v>
      </c>
      <c r="M44" s="880">
        <f t="shared" si="63"/>
        <v>3.6004264843734944E-2</v>
      </c>
      <c r="N44" s="889">
        <f>MIN(0.3*B44,M44*Assumptions!$C$20)</f>
        <v>3525561.3240027274</v>
      </c>
      <c r="O44" s="889"/>
      <c r="P44" s="890">
        <f>M44*Assumptions!$C$20-N44</f>
        <v>0</v>
      </c>
      <c r="R44" s="457">
        <f>VLOOKUP($A44,OpCost[[Agency]:[FY25 Operating Cost Performance]], 5, FALSE)</f>
        <v>14322731</v>
      </c>
      <c r="S44" s="466">
        <f>VLOOKUP($A44,Ridership[[Agency]:[FY25 Ridership]], 5, FALSE)</f>
        <v>1396636</v>
      </c>
      <c r="T44" s="466">
        <f>VLOOKUP($A44,VRH[[Agency]:[FY25 Revenue Hours]], 4, FALSE)</f>
        <v>143067</v>
      </c>
      <c r="U44" s="466">
        <f>VLOOKUP($A44,VRM[[Agency]:[FY25 Revenue Miles]], 4, FALSE)</f>
        <v>2266478</v>
      </c>
      <c r="V44" s="466">
        <f>VLOOKUP(A44,PMT!$A$3:$D$12, 3, FALSE)</f>
        <v>8262231</v>
      </c>
      <c r="W44" s="302"/>
      <c r="X44" s="991">
        <f t="shared" si="78"/>
        <v>9.762111458267805</v>
      </c>
      <c r="Y44" s="991">
        <f t="shared" si="79"/>
        <v>0.61621423194930636</v>
      </c>
      <c r="Z44" s="992">
        <f t="shared" si="80"/>
        <v>100.1120523950317</v>
      </c>
      <c r="AA44" s="992">
        <f t="shared" si="81"/>
        <v>6.3193779070434388</v>
      </c>
      <c r="AB44" s="992">
        <f t="shared" si="82"/>
        <v>10.255163836532926</v>
      </c>
      <c r="AC44" s="993">
        <f t="shared" ref="AC44:AC45" si="83">IF(V44=0, "", V44/U44)</f>
        <v>3.645405338150205</v>
      </c>
      <c r="AD44" s="993">
        <f t="shared" ref="AD44:AD45" si="84">IF(V44=0, "",V44/T44)</f>
        <v>57.750781102560339</v>
      </c>
      <c r="AE44" s="1007">
        <f t="shared" si="64"/>
        <v>0</v>
      </c>
      <c r="AF44" s="1007">
        <f t="shared" si="65"/>
        <v>0</v>
      </c>
      <c r="AG44" s="1007">
        <f t="shared" si="66"/>
        <v>0</v>
      </c>
      <c r="AH44" s="1007">
        <f t="shared" si="67"/>
        <v>0</v>
      </c>
      <c r="AI44" s="1007">
        <f t="shared" si="68"/>
        <v>0</v>
      </c>
      <c r="AJ44" s="1007">
        <f t="shared" si="69"/>
        <v>0</v>
      </c>
      <c r="AK44" s="1007">
        <f t="shared" si="70"/>
        <v>0</v>
      </c>
      <c r="AL44" s="1008">
        <f t="shared" si="71"/>
        <v>0</v>
      </c>
      <c r="AM44" s="302">
        <f t="shared" si="72"/>
        <v>0</v>
      </c>
      <c r="AN44" s="1011">
        <f t="shared" si="73"/>
        <v>0</v>
      </c>
      <c r="AO44" s="1012">
        <f t="shared" si="74"/>
        <v>0</v>
      </c>
      <c r="AP44" s="1034">
        <f t="shared" si="75"/>
        <v>3525561.3240027274</v>
      </c>
      <c r="AQ44" s="1020">
        <f>VLOOKUP(A44,'Allocation Calculations_FY26'!B20:CM57, 85, FALSE)</f>
        <v>3193342.7257590448</v>
      </c>
      <c r="AR44" s="1021">
        <f t="shared" si="76"/>
        <v>332218.59824368265</v>
      </c>
      <c r="AS44" s="1022">
        <f t="shared" si="77"/>
        <v>0.10403474564876704</v>
      </c>
      <c r="AT44" s="913">
        <f t="shared" si="59"/>
        <v>-5.3890120725449679E-2</v>
      </c>
    </row>
    <row r="45" spans="1:46" ht="15" hidden="1" thickBot="1">
      <c r="A45" s="472" t="s">
        <v>50</v>
      </c>
      <c r="B45" s="892">
        <f>VLOOKUP($A45, 'Allocation Calculations_FY26'!$B$12:$G$49, 3, FALSE)</f>
        <v>43121644</v>
      </c>
      <c r="C45" s="892">
        <f>VLOOKUP($A45, OpCost[], 11, FALSE)</f>
        <v>44952155</v>
      </c>
      <c r="D45" s="893">
        <f>VLOOKUP($A45, Ridership[],11, FALSE)</f>
        <v>1591749.3333333333</v>
      </c>
      <c r="E45" s="893">
        <f>VLOOKUP($A45, VRHsizing[], 11, FALSE)</f>
        <v>218393.06666666665</v>
      </c>
      <c r="F45" s="893">
        <f>VLOOKUP($A45, VRMsizing[],11, FALSE)</f>
        <v>5260388.8833333338</v>
      </c>
      <c r="G45" s="894">
        <f t="shared" si="60"/>
        <v>8.1986434541798811E-2</v>
      </c>
      <c r="H45" s="894">
        <f t="shared" si="61"/>
        <v>8.0288064998806766E-2</v>
      </c>
      <c r="I45" s="886">
        <f t="shared" si="62"/>
        <v>8.1986434541798811E-2</v>
      </c>
      <c r="J45" s="887">
        <f>MIN(0.3*LargeUrban!B45,LargeUrban!I45*Assumptions!$C$20)</f>
        <v>8028165.662261649</v>
      </c>
      <c r="K45" s="887"/>
      <c r="L45" s="888">
        <f>I45*Assumptions!$C$20-LargeUrban!J45</f>
        <v>0</v>
      </c>
      <c r="M45" s="880">
        <f t="shared" si="63"/>
        <v>8.0288064998806766E-2</v>
      </c>
      <c r="N45" s="889">
        <f>MIN(0.3*B45,M45*Assumptions!$C$20)</f>
        <v>7861860.1981555307</v>
      </c>
      <c r="O45" s="889"/>
      <c r="P45" s="890">
        <f>SUM(P36:P44)</f>
        <v>0</v>
      </c>
      <c r="R45" s="457">
        <f>VLOOKUP($A45,OpCost[[Agency]:[FY25 Operating Cost Performance]], 5, FALSE)</f>
        <v>49463221</v>
      </c>
      <c r="S45" s="466">
        <f>VLOOKUP($A45,Ridership[[Agency]:[FY25 Ridership]], 5, FALSE)</f>
        <v>1972474</v>
      </c>
      <c r="T45" s="466">
        <f>VLOOKUP($A45,VRH[[Agency]:[FY25 Revenue Hours]], 4, FALSE)</f>
        <v>174456.2</v>
      </c>
      <c r="U45" s="466">
        <f>VLOOKUP($A45,VRM[[Agency]:[FY25 Revenue Miles]], 4, FALSE)</f>
        <v>3127398</v>
      </c>
      <c r="V45" s="466">
        <f>VLOOKUP(A45,PMT!$A$3:$D$12, 3, FALSE)</f>
        <v>62378057</v>
      </c>
      <c r="W45" s="302"/>
      <c r="X45" s="994">
        <f t="shared" si="78"/>
        <v>11.306413873510943</v>
      </c>
      <c r="Y45" s="994">
        <f t="shared" si="79"/>
        <v>0.63070770013922117</v>
      </c>
      <c r="Z45" s="995">
        <f t="shared" si="80"/>
        <v>283.52802021366966</v>
      </c>
      <c r="AA45" s="995">
        <f t="shared" si="81"/>
        <v>15.816094082045202</v>
      </c>
      <c r="AB45" s="995">
        <f t="shared" si="82"/>
        <v>25.07674169596152</v>
      </c>
      <c r="AC45" s="996">
        <f t="shared" si="83"/>
        <v>19.945672728575001</v>
      </c>
      <c r="AD45" s="996">
        <f t="shared" si="84"/>
        <v>357.55712322061351</v>
      </c>
      <c r="AE45" s="1035">
        <f t="shared" si="64"/>
        <v>0</v>
      </c>
      <c r="AF45" s="1035">
        <f t="shared" si="65"/>
        <v>0</v>
      </c>
      <c r="AG45" s="1035">
        <f t="shared" si="66"/>
        <v>0</v>
      </c>
      <c r="AH45" s="1035">
        <f t="shared" si="67"/>
        <v>0</v>
      </c>
      <c r="AI45" s="1035">
        <f t="shared" si="68"/>
        <v>0</v>
      </c>
      <c r="AJ45" s="1035">
        <f t="shared" si="69"/>
        <v>1</v>
      </c>
      <c r="AK45" s="1036">
        <f t="shared" si="70"/>
        <v>1</v>
      </c>
      <c r="AL45" s="1037">
        <f t="shared" si="71"/>
        <v>2</v>
      </c>
      <c r="AM45" s="302">
        <f t="shared" si="72"/>
        <v>0.16057612999761353</v>
      </c>
      <c r="AN45" s="1013">
        <f t="shared" si="73"/>
        <v>0.12268687411211401</v>
      </c>
      <c r="AO45" s="1014">
        <f t="shared" si="74"/>
        <v>648079.28238399164</v>
      </c>
      <c r="AP45" s="1038">
        <f t="shared" si="75"/>
        <v>8509939.4805395231</v>
      </c>
      <c r="AQ45" s="1023">
        <f>VLOOKUP(A45,'Allocation Calculations_FY26'!B21:CM58, 85, FALSE)</f>
        <v>8680792.6820716076</v>
      </c>
      <c r="AR45" s="1024">
        <f t="shared" si="76"/>
        <v>-170853.20153208449</v>
      </c>
      <c r="AS45" s="1025">
        <f t="shared" si="77"/>
        <v>-1.9681751170598356E-2</v>
      </c>
      <c r="AT45" s="914">
        <f t="shared" si="59"/>
        <v>-3.7565295634043469E-2</v>
      </c>
    </row>
    <row r="46" spans="1:46" ht="17.45" hidden="1" customHeight="1" thickTop="1" thickBot="1">
      <c r="A46" s="473" t="s">
        <v>121</v>
      </c>
      <c r="B46" s="906">
        <f>SUM(B36:B45)</f>
        <v>470363859</v>
      </c>
      <c r="C46" s="877">
        <f>SUM(C36:C45)</f>
        <v>437127044.66666663</v>
      </c>
      <c r="D46" s="877">
        <f t="shared" ref="D46:F46" si="85">SUM(D36:D45)</f>
        <v>35640539</v>
      </c>
      <c r="E46" s="877">
        <f t="shared" si="85"/>
        <v>3477557.7690000003</v>
      </c>
      <c r="F46" s="877">
        <f t="shared" si="85"/>
        <v>48303522.053200006</v>
      </c>
      <c r="G46" s="522">
        <f>SUM(G36:G45)</f>
        <v>1</v>
      </c>
      <c r="H46" s="522">
        <f t="shared" ref="H46" si="86">SUM(H36:H45)</f>
        <v>1</v>
      </c>
      <c r="I46" s="523">
        <f t="shared" ref="I46" si="87">G46/SUM($G$15:$G$24)</f>
        <v>1</v>
      </c>
      <c r="J46" s="524">
        <f>SUM(J36:J45)</f>
        <v>97920658.547100037</v>
      </c>
      <c r="K46" s="524"/>
      <c r="L46" s="524">
        <f>SUM(L36:L45)</f>
        <v>0</v>
      </c>
      <c r="M46" s="523">
        <f t="shared" ref="M46" si="88">K46/SUM($G$15:$G$24)</f>
        <v>0</v>
      </c>
      <c r="N46" s="524">
        <f>SUM(N36:N45)</f>
        <v>97920658.547100052</v>
      </c>
      <c r="O46" s="525"/>
      <c r="P46" s="524">
        <f>SUM(P36:P45)</f>
        <v>0</v>
      </c>
      <c r="R46" s="468">
        <f>SUM(R36:R45)</f>
        <v>479932234</v>
      </c>
      <c r="S46" s="468">
        <f t="shared" ref="S46:V46" si="89">SUM(S36:S45)</f>
        <v>41464135</v>
      </c>
      <c r="T46" s="468">
        <f t="shared" si="89"/>
        <v>3546818.5970000005</v>
      </c>
      <c r="U46" s="468">
        <f t="shared" si="89"/>
        <v>45532600</v>
      </c>
      <c r="V46" s="468">
        <f t="shared" si="89"/>
        <v>244095833</v>
      </c>
      <c r="W46" s="461" t="s">
        <v>122</v>
      </c>
      <c r="X46" s="997">
        <f>S46/T46</f>
        <v>11.690514715094688</v>
      </c>
      <c r="Y46" s="997">
        <f t="shared" si="79"/>
        <v>0.91064720661679766</v>
      </c>
      <c r="Z46" s="998">
        <f t="shared" si="80"/>
        <v>135.31344242018474</v>
      </c>
      <c r="AA46" s="998">
        <f t="shared" si="81"/>
        <v>10.540409157394921</v>
      </c>
      <c r="AB46" s="998">
        <f t="shared" si="82"/>
        <v>11.57463513950068</v>
      </c>
      <c r="AC46" s="999">
        <f>U46/V46</f>
        <v>0.18653575294749092</v>
      </c>
      <c r="AD46" s="999">
        <f>T46/V46</f>
        <v>1.4530434843596861E-2</v>
      </c>
      <c r="AE46" s="1015">
        <f>SUM(AE36:AE45)</f>
        <v>4</v>
      </c>
      <c r="AF46" s="1015">
        <f t="shared" ref="AF46:AI46" si="90">SUM(AF36:AF45)</f>
        <v>4</v>
      </c>
      <c r="AG46" s="1015">
        <f t="shared" si="90"/>
        <v>0</v>
      </c>
      <c r="AH46" s="1015">
        <f t="shared" si="90"/>
        <v>0</v>
      </c>
      <c r="AI46" s="1015">
        <f t="shared" si="90"/>
        <v>0</v>
      </c>
      <c r="AJ46" s="1015">
        <f t="shared" ref="AJ46" si="91">SUM(AJ36:AJ45)</f>
        <v>4</v>
      </c>
      <c r="AK46" s="1016">
        <f t="shared" ref="AK46" si="92">SUM(AK36:AK45)</f>
        <v>4</v>
      </c>
      <c r="AL46" s="1039">
        <f t="shared" ref="AL46:AQ46" si="93">SUM(AL36:AL45)</f>
        <v>16</v>
      </c>
      <c r="AM46" s="302">
        <f t="shared" si="93"/>
        <v>1.3088289286014041</v>
      </c>
      <c r="AN46" s="1009">
        <f t="shared" si="93"/>
        <v>0.99999999999999989</v>
      </c>
      <c r="AO46" s="1018">
        <f t="shared" si="93"/>
        <v>5282384.8278322108</v>
      </c>
      <c r="AP46" s="1040">
        <f t="shared" si="93"/>
        <v>103203043.37493226</v>
      </c>
      <c r="AQ46" s="1026">
        <f t="shared" si="93"/>
        <v>102939129.88507383</v>
      </c>
      <c r="AR46" s="1027"/>
      <c r="AS46" s="1028"/>
    </row>
    <row r="47" spans="1:46" ht="16.5" hidden="1" customHeight="1">
      <c r="A47" s="907" t="s">
        <v>123</v>
      </c>
      <c r="C47" s="370">
        <f>C46-'Op Cost - Performance'!K42</f>
        <v>0</v>
      </c>
      <c r="D47" s="371">
        <f>D46-'Ridership'!K42</f>
        <v>0</v>
      </c>
      <c r="E47" s="371">
        <f>E46-'Revenue Hours - Sizing'!K42</f>
        <v>0</v>
      </c>
      <c r="F47" s="371">
        <f>F46-'Revenue Miles - Sizing'!K42</f>
        <v>0</v>
      </c>
      <c r="W47" s="461" t="s">
        <v>124</v>
      </c>
      <c r="X47" s="1000">
        <f>MEDIAN(X36:X45)</f>
        <v>10.977847555597048</v>
      </c>
      <c r="Y47" s="1000">
        <f t="shared" ref="Y47:AB47" si="94">MEDIAN(Y36:Y45)</f>
        <v>0.82001093528504532</v>
      </c>
      <c r="Z47" s="1041">
        <f t="shared" si="94"/>
        <v>125.77409355442728</v>
      </c>
      <c r="AA47" s="1041">
        <f t="shared" si="94"/>
        <v>11.411458981275404</v>
      </c>
      <c r="AB47" s="1041">
        <f t="shared" si="94"/>
        <v>10.878709529260396</v>
      </c>
      <c r="AC47" s="1002">
        <f>MEDIAN(AC36:AC45)</f>
        <v>4.1771844432133127</v>
      </c>
      <c r="AD47" s="1002">
        <f t="shared" ref="AD47" si="95">MEDIAN(AD36:AD45)</f>
        <v>57.750781102560339</v>
      </c>
      <c r="AE47" s="983"/>
      <c r="AF47" s="983"/>
      <c r="AG47" s="983"/>
      <c r="AH47" s="983"/>
      <c r="AI47" s="983"/>
      <c r="AJ47" s="984"/>
      <c r="AK47" s="983"/>
      <c r="AL47" s="302"/>
      <c r="AM47" s="302"/>
      <c r="AN47" s="308"/>
      <c r="AO47" s="308"/>
      <c r="AP47" s="1029">
        <f>AP46+SmallUrban!AP39+Rural!AL61</f>
        <v>127252317.80000006</v>
      </c>
      <c r="AQ47" s="302"/>
      <c r="AR47" s="302"/>
      <c r="AS47" s="302"/>
    </row>
    <row r="48" spans="1:46" ht="16.5" hidden="1" customHeight="1">
      <c r="W48" s="461" t="s">
        <v>126</v>
      </c>
      <c r="X48" s="1000">
        <f>AVERAGE(X36:X45)</f>
        <v>13.007000644504217</v>
      </c>
      <c r="Y48" s="1000">
        <f t="shared" ref="Y48:AD48" si="96">AVERAGE(Y36:Y45)</f>
        <v>1.0547957027777657</v>
      </c>
      <c r="Z48" s="1041">
        <f t="shared" si="96"/>
        <v>141.9315353867382</v>
      </c>
      <c r="AA48" s="1041">
        <f t="shared" si="96"/>
        <v>10.884816827620668</v>
      </c>
      <c r="AB48" s="1041">
        <f t="shared" si="96"/>
        <v>13.887693996918197</v>
      </c>
      <c r="AC48" s="1002">
        <f t="shared" si="96"/>
        <v>6.2864279607205065</v>
      </c>
      <c r="AD48" s="1002">
        <f t="shared" si="96"/>
        <v>90.018806316697848</v>
      </c>
      <c r="AE48" s="302"/>
      <c r="AF48" s="302"/>
      <c r="AG48" s="302"/>
      <c r="AH48" s="302"/>
      <c r="AI48" s="302"/>
      <c r="AJ48" s="302"/>
      <c r="AK48" s="302"/>
      <c r="AL48" s="302"/>
      <c r="AM48" s="302"/>
      <c r="AN48" s="302"/>
      <c r="AO48" s="302"/>
      <c r="AP48" s="302"/>
      <c r="AQ48" s="302"/>
      <c r="AR48" s="302"/>
      <c r="AS48" s="302"/>
    </row>
    <row r="49" spans="1:45" ht="16.5" hidden="1" customHeight="1">
      <c r="W49" s="462" t="s">
        <v>65</v>
      </c>
      <c r="X49" s="1000">
        <f>PERCENTILE(X36:X45,$AF49)</f>
        <v>11.319901240522681</v>
      </c>
      <c r="Y49" s="1000">
        <f>PERCENTILE(Y36:Y45,$AF49)</f>
        <v>0.95709399263644901</v>
      </c>
      <c r="Z49" s="1041">
        <f>PERCENTILE(Z36:Z45,(1-$AF49))</f>
        <v>121.99475493819588</v>
      </c>
      <c r="AA49" s="1041">
        <f>PERCENTILE(AA36:AA45,(1-$AF49))</f>
        <v>10.588829787124913</v>
      </c>
      <c r="AB49" s="1041">
        <f>PERCENTILE(AB36:AB45,(1-$AF49))</f>
        <v>9.4865662508280533</v>
      </c>
      <c r="AC49" s="1002">
        <f>PERCENTILE(AC36:AC45,$AF49)</f>
        <v>4.8565235859685014</v>
      </c>
      <c r="AD49" s="1002">
        <f t="shared" ref="AD49" si="97">PERCENTILE(AD36:AD45,$AF49)</f>
        <v>64.053556544114414</v>
      </c>
      <c r="AE49" s="1019" t="s">
        <v>151</v>
      </c>
      <c r="AF49" s="1042">
        <f>W7</f>
        <v>0.6</v>
      </c>
      <c r="AG49" s="461" t="s">
        <v>152</v>
      </c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302"/>
      <c r="AS49" s="302"/>
    </row>
    <row r="50" spans="1:45" ht="17.25" hidden="1" customHeight="1">
      <c r="W50" s="533" t="s">
        <v>127</v>
      </c>
      <c r="X50" s="1000">
        <v>10.962917756243355</v>
      </c>
      <c r="Y50" s="1000">
        <v>0.89799581956190277</v>
      </c>
      <c r="Z50" s="1001">
        <v>114.85285999792509</v>
      </c>
      <c r="AA50" s="1001">
        <v>9.4913229853014442</v>
      </c>
      <c r="AB50" s="1001">
        <v>9.9319419136510891</v>
      </c>
      <c r="AC50" s="1002">
        <v>3.8434875472994143</v>
      </c>
      <c r="AD50" s="1002">
        <v>61.035125800044483</v>
      </c>
      <c r="AE50" s="461" t="s">
        <v>128</v>
      </c>
      <c r="AF50" s="302"/>
      <c r="AG50" s="302"/>
      <c r="AH50" s="302"/>
      <c r="AI50" s="302"/>
      <c r="AJ50" s="302"/>
      <c r="AK50" s="302"/>
      <c r="AL50" s="302"/>
      <c r="AM50" s="302"/>
      <c r="AN50" s="302"/>
      <c r="AO50" s="989"/>
      <c r="AP50" s="302"/>
      <c r="AQ50" s="302"/>
      <c r="AR50" s="302"/>
      <c r="AS50" s="302"/>
    </row>
    <row r="51" spans="1:45" ht="28.5" hidden="1" customHeight="1" thickBot="1">
      <c r="W51" s="533"/>
      <c r="X51" s="1043"/>
      <c r="Y51" s="1043"/>
      <c r="Z51" s="1044"/>
      <c r="AA51" s="1044"/>
      <c r="AB51" s="1044"/>
      <c r="AC51" s="1044"/>
      <c r="AD51" s="1044"/>
      <c r="AE51" s="461"/>
      <c r="AF51" s="302"/>
      <c r="AG51" s="302"/>
      <c r="AH51" s="302"/>
      <c r="AI51" s="302"/>
      <c r="AJ51" s="302"/>
      <c r="AK51" s="302"/>
      <c r="AL51" s="986" t="s">
        <v>132</v>
      </c>
      <c r="AM51" s="987"/>
      <c r="AN51" s="988">
        <f>Assumptions!C28</f>
        <v>5453514.7733708723</v>
      </c>
      <c r="AO51" s="989"/>
      <c r="AP51" s="302"/>
      <c r="AQ51" s="302"/>
      <c r="AR51" s="302"/>
      <c r="AS51" s="302"/>
    </row>
    <row r="52" spans="1:45" ht="15" hidden="1" thickBot="1">
      <c r="B52" s="1158" t="s">
        <v>81</v>
      </c>
      <c r="C52" s="1159"/>
      <c r="D52" s="1159"/>
      <c r="E52" s="1159"/>
      <c r="F52" s="1159"/>
      <c r="G52" s="1160"/>
      <c r="H52" s="1160"/>
      <c r="I52" s="1161" t="s">
        <v>70</v>
      </c>
      <c r="J52" s="1161"/>
      <c r="K52" s="1161"/>
      <c r="L52" s="1161"/>
      <c r="M52" s="1162" t="s">
        <v>71</v>
      </c>
      <c r="N52" s="1162"/>
      <c r="O52" s="1162"/>
      <c r="P52" s="116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</row>
    <row r="53" spans="1:45" ht="59.45" hidden="1" customHeight="1">
      <c r="B53" s="896" t="s">
        <v>153</v>
      </c>
      <c r="C53" s="897" t="s">
        <v>154</v>
      </c>
      <c r="D53" s="897" t="s">
        <v>155</v>
      </c>
      <c r="E53" s="897" t="s">
        <v>156</v>
      </c>
      <c r="F53" s="897" t="s">
        <v>157</v>
      </c>
      <c r="G53" s="897" t="s">
        <v>88</v>
      </c>
      <c r="H53" s="897" t="s">
        <v>89</v>
      </c>
      <c r="I53" s="881" t="s">
        <v>90</v>
      </c>
      <c r="J53" s="882" t="s">
        <v>91</v>
      </c>
      <c r="K53" s="882"/>
      <c r="L53" s="883" t="s">
        <v>3</v>
      </c>
      <c r="M53" s="879" t="s">
        <v>92</v>
      </c>
      <c r="N53" s="884" t="s">
        <v>93</v>
      </c>
      <c r="O53" s="884"/>
      <c r="P53" s="885" t="s">
        <v>3</v>
      </c>
      <c r="R53" s="449" t="s">
        <v>158</v>
      </c>
      <c r="S53" s="449" t="s">
        <v>159</v>
      </c>
      <c r="T53" s="449" t="s">
        <v>160</v>
      </c>
      <c r="U53" s="449" t="s">
        <v>161</v>
      </c>
      <c r="V53" s="465" t="s">
        <v>162</v>
      </c>
      <c r="W53" s="302"/>
      <c r="X53" s="990" t="s">
        <v>99</v>
      </c>
      <c r="Y53" s="990" t="s">
        <v>100</v>
      </c>
      <c r="Z53" s="990" t="s">
        <v>101</v>
      </c>
      <c r="AA53" s="990" t="s">
        <v>102</v>
      </c>
      <c r="AB53" s="990" t="s">
        <v>103</v>
      </c>
      <c r="AC53" s="990" t="s">
        <v>104</v>
      </c>
      <c r="AD53" s="990" t="s">
        <v>105</v>
      </c>
      <c r="AE53" s="1003" t="s">
        <v>163</v>
      </c>
      <c r="AF53" s="1003" t="s">
        <v>164</v>
      </c>
      <c r="AG53" s="1003" t="s">
        <v>165</v>
      </c>
      <c r="AH53" s="1003" t="s">
        <v>166</v>
      </c>
      <c r="AI53" s="1003" t="s">
        <v>167</v>
      </c>
      <c r="AJ53" s="1003" t="s">
        <v>148</v>
      </c>
      <c r="AK53" s="1004" t="s">
        <v>149</v>
      </c>
      <c r="AL53" s="1005" t="s">
        <v>113</v>
      </c>
      <c r="AM53" s="302"/>
      <c r="AN53" s="1006" t="s">
        <v>114</v>
      </c>
      <c r="AO53" s="1006" t="s">
        <v>115</v>
      </c>
      <c r="AP53" s="1030" t="s">
        <v>116</v>
      </c>
      <c r="AQ53" s="1031" t="s">
        <v>168</v>
      </c>
      <c r="AR53" s="1032" t="s">
        <v>118</v>
      </c>
      <c r="AS53" s="1033" t="s">
        <v>119</v>
      </c>
    </row>
    <row r="54" spans="1:45" ht="14.1" hidden="1" customHeight="1">
      <c r="A54" s="472" t="s">
        <v>47</v>
      </c>
      <c r="B54" s="892">
        <f>VLOOKUP($A54, 'Allocation Calculations_FY25'!$B$9:$C$48, 2, FALSE)</f>
        <v>31898625</v>
      </c>
      <c r="C54" s="892">
        <f>VLOOKUP($A54, OpCost[], 12, FALSE)</f>
        <v>27799177</v>
      </c>
      <c r="D54" s="893">
        <f>VLOOKUP($A54, Ridership[],12, FALSE)</f>
        <v>3052658</v>
      </c>
      <c r="E54" s="893">
        <f>VLOOKUP($A54, VRHsizing[], 12, FALSE)</f>
        <v>266352.66666666669</v>
      </c>
      <c r="F54" s="893">
        <f>VLOOKUP($A54, VRMsizing[],12, FALSE)</f>
        <v>2480860.3333333335</v>
      </c>
      <c r="G54" s="894">
        <f>IFERROR($I$11*(C54/C$25),0) + IFERROR($J$11*(D54/D$25),0) + IFERROR($K$11*(E54/E$25),0) + IFERROR($L$11*(F54/F$25),0)</f>
        <v>6.3101103044859885E-2</v>
      </c>
      <c r="H54" s="894">
        <f t="shared" ref="H54:H63" si="98">IFERROR($M$11*(C54/C$25),0) + IFERROR($N$11*(D54/D$25),0) + IFERROR($O$11*(E54/E$25),0) + IFERROR($P$11*(F54/F$25),0)</f>
        <v>6.353333507631008E-2</v>
      </c>
      <c r="I54" s="886">
        <f>G54/SUM($G$54:$G$63)</f>
        <v>7.6832670316708776E-2</v>
      </c>
      <c r="J54" s="887">
        <f>MIN(0.3*LargeUrban!B54,LargeUrban!I54*Assumptions!$C$29)</f>
        <v>7607571.8379209777</v>
      </c>
      <c r="K54" s="887"/>
      <c r="L54" s="888">
        <f>I54*Assumptions!$C$29-LargeUrban!J54</f>
        <v>0</v>
      </c>
      <c r="M54" s="880">
        <f>H54/SUM($H$54:$H$63)</f>
        <v>7.64589845286094E-2</v>
      </c>
      <c r="N54" s="889">
        <f>MIN(0.3*B54,M54*Assumptions!$C$29)</f>
        <v>7570571.412632389</v>
      </c>
      <c r="O54" s="889"/>
      <c r="P54" s="890">
        <f>M54*Assumptions!$C$29-N54</f>
        <v>0</v>
      </c>
      <c r="R54" s="457">
        <f>VLOOKUP($A54,OpCost[[Agency]:[FY25 Operating Cost Performance]], 4, FALSE)</f>
        <v>32028446</v>
      </c>
      <c r="S54" s="466">
        <f>VLOOKUP($A54,Ridership[[Agency]:[FY25 Ridership]], 4, FALSE)</f>
        <v>4580046</v>
      </c>
      <c r="T54" s="466">
        <f>VLOOKUP($A54,VRH[[Agency]:[FY25 Revenue Hours]], 3, FALSE)</f>
        <v>310607</v>
      </c>
      <c r="U54" s="466">
        <f>VLOOKUP($A54,VRM[[Agency]:[FY25 Revenue Miles]], 3, FALSE)</f>
        <v>2503129</v>
      </c>
      <c r="V54" s="466">
        <f>VLOOKUP(A54,PMT!$A$3:$D$12, 2, FALSE)</f>
        <v>10493813</v>
      </c>
      <c r="W54" s="302"/>
      <c r="X54" s="991">
        <f>S54/T54</f>
        <v>14.745469355165852</v>
      </c>
      <c r="Y54" s="991">
        <f t="shared" ref="Y54" si="99">S54/U54</f>
        <v>1.829728312044645</v>
      </c>
      <c r="Z54" s="992">
        <f t="shared" ref="Z54" si="100">R54/T54</f>
        <v>103.11566062580688</v>
      </c>
      <c r="AA54" s="992">
        <f t="shared" ref="AA54" si="101">R54/U54</f>
        <v>12.795363722764588</v>
      </c>
      <c r="AB54" s="992">
        <f t="shared" ref="AB54" si="102">R54/S54</f>
        <v>6.9930402445739626</v>
      </c>
      <c r="AC54" s="993">
        <f t="shared" ref="AC54:AC60" si="103">IF(V54=0, "", V54/U54)</f>
        <v>4.192278144674126</v>
      </c>
      <c r="AD54" s="993">
        <f t="shared" ref="AD54:AD60" si="104">IF(V54=0, "",V54/T54)</f>
        <v>33.784856748238127</v>
      </c>
      <c r="AE54" s="1007">
        <f t="shared" ref="AE54:AE63" si="105">IF($X$12="Yes",(IF($W$6="Weighted Average",IF(X54&gt;=X$64,1,0),IF($W$6="MEDIAN",IF(X54&gt;=X$65,1,0),IF($W$6="MEAN",IF(X54&gt;=X$66,1,0),IF($W$6="PERCENTILE",IF(X54&gt;=X$67,1,0),IF(X54&gt;=X$68,1,0)) )))), 0)</f>
        <v>1</v>
      </c>
      <c r="AF54" s="1007">
        <f t="shared" ref="AF54" si="106">IF($X$12="Yes",(IF($W$6="Weighted Average",IF(Y54&gt;=Y$64,1,0),IF($W$6="MEDIAN",IF(Y54&gt;=Y$65,1,0),IF($W$6="MEAN",IF(Y54&gt;=Y$66,1,0),IF($W$6="PERCENTILE",IF(Y54&gt;=Y$67,1,0),IF(Y54&gt;=Y$68,1,0)) )))), 0)</f>
        <v>1</v>
      </c>
      <c r="AG54" s="1007">
        <f t="shared" ref="AG54:AG63" si="107">IF($Z$12="Yes",(IF($W$6="Weighted Average",IF(Z54&lt;=Z$64,1,0),IF($W$6="MEDIAN",IF(Z54&lt;=Z$65,1,0),IF($W$6="MEAN",IF(Z54&lt;=Z$66,1,0),IF($W$6="PERCENTILE",IF(Z54&lt;=Z$67,1,0),IF(Z54&lt;=Z$68,1,0)) )))), 0)</f>
        <v>0</v>
      </c>
      <c r="AH54" s="1007">
        <f t="shared" ref="AH54:AI54" si="108">IF($Z$12="Yes",(IF($W$6="Weighted Average",IF(AA54&lt;=AA$64,1,0),IF($W$6="MEDIAN",IF(AA54&lt;=AA$65,1,0),IF($W$6="MEAN",IF(AA54&lt;=AA$66,1,0),IF($W$6="PERCENTILE",IF(AA54&lt;=AA$67,1,0),IF(AA54&lt;=AA$68,1,0)) )))), 0)</f>
        <v>0</v>
      </c>
      <c r="AI54" s="1007">
        <f t="shared" si="108"/>
        <v>0</v>
      </c>
      <c r="AJ54" s="1007">
        <f t="shared" ref="AJ54:AJ63" si="109">IF(AC$12="Yes",(IF($W$6="Weighted Average",IF(AC54&gt;=AC$64,1,0),IF($W$6="MEDIAN",IF(AC54&gt;=AC$65,1,0),IF($W$6="MEAN",IF(AC54&gt;=AC$66,1,0),IF($W$6="PERCENTILE",IF(AC54&gt;=AC$67,1,0)*IF(AC54="",0,1),IF(AC54&gt;=AC$68,1,0)) )))), 0)</f>
        <v>0</v>
      </c>
      <c r="AK54" s="1007">
        <f t="shared" ref="AK54:AK63" si="110">IF(AD$12="Yes",(IF($W$6="Weighted Average",IF(AD54&gt;=AD$64,1,0),IF($W$6="MEDIAN",IF(AD54&gt;=AD$65,1,0),IF($W$6="MEAN",IF(AD54&gt;=AD$66,1,0),IF($W$6="PERCENTILE",IF(AD54&gt;=AD$67,1,0)*IF(AD54="",0,1),IF(AD54&gt;=AD$68,1,0)) )))), 0)</f>
        <v>0</v>
      </c>
      <c r="AL54" s="1008">
        <f>MIN(SUM(AE54:AK54),$AL$6)</f>
        <v>2</v>
      </c>
      <c r="AM54" s="302">
        <f>M54*AL54</f>
        <v>0.1529179690572188</v>
      </c>
      <c r="AN54" s="1011">
        <f>AM54/$AM$64</f>
        <v>0.1132415776087847</v>
      </c>
      <c r="AO54" s="1012">
        <f t="shared" ref="AO54:AO64" si="111">AN54*$AN$51</f>
        <v>617564.61644933152</v>
      </c>
      <c r="AP54" s="1034">
        <f>AO54+N54</f>
        <v>8188136.0290817209</v>
      </c>
      <c r="AQ54" s="1020">
        <f>VLOOKUP(A54,'Allocation Calculations_FY25'!$B$9:$CA$48, 78, FALSE)</f>
        <v>9437848</v>
      </c>
      <c r="AR54" s="1021">
        <f>AP54-AQ54</f>
        <v>-1249711.9709182791</v>
      </c>
      <c r="AS54" s="1022">
        <f>AR54/AQ54</f>
        <v>-0.1324149287971452</v>
      </c>
    </row>
    <row r="55" spans="1:45" ht="14.25" hidden="1">
      <c r="A55" s="472" t="s">
        <v>46</v>
      </c>
      <c r="B55" s="892">
        <f>VLOOKUP($A55, 'Allocation Calculations_FY25'!$B$9:$C$48, 2, FALSE)</f>
        <v>23750125</v>
      </c>
      <c r="C55" s="892">
        <f>VLOOKUP($A55, OpCost[], 12, FALSE)</f>
        <v>23647553.666666668</v>
      </c>
      <c r="D55" s="893">
        <f>VLOOKUP($A55, Ridership[],12, FALSE)</f>
        <v>1781869.6666666667</v>
      </c>
      <c r="E55" s="893">
        <f>VLOOKUP($A55, VRHsizing[], 12, FALSE)</f>
        <v>200905.66666666666</v>
      </c>
      <c r="F55" s="893">
        <f>VLOOKUP($A55, VRMsizing[],12, FALSE)</f>
        <v>2034819.6666666667</v>
      </c>
      <c r="G55" s="894">
        <f t="shared" ref="G55:G63" si="112">IFERROR($I$11*(C55/C$25),0) + IFERROR($J$11*(D55/D$25),0) + IFERROR($K$11*(E55/E$25),0) + IFERROR($L$11*(F55/F$25),0)</f>
        <v>4.6885318040590471E-2</v>
      </c>
      <c r="H55" s="894">
        <f t="shared" si="98"/>
        <v>4.682328213267492E-2</v>
      </c>
      <c r="I55" s="886">
        <f t="shared" ref="I55:I63" si="113">G55/SUM($G$54:$G$63)</f>
        <v>5.7088133327015837E-2</v>
      </c>
      <c r="J55" s="887">
        <f>MIN(0.3*LargeUrban!B55,LargeUrban!I55*Assumptions!$C$29)</f>
        <v>5652570.3660677811</v>
      </c>
      <c r="K55" s="887"/>
      <c r="L55" s="888">
        <f>I55*Assumptions!$C$29-LargeUrban!J55</f>
        <v>0</v>
      </c>
      <c r="M55" s="880">
        <f t="shared" ref="M55:M63" si="114">H55/SUM($H$54:$H$63)</f>
        <v>5.634932590679969E-2</v>
      </c>
      <c r="N55" s="889">
        <f>MIN(0.3*B55,M55*Assumptions!$C$29)</f>
        <v>5579417.4937217431</v>
      </c>
      <c r="O55" s="889"/>
      <c r="P55" s="890">
        <f>M55*Assumptions!$C$29-N55</f>
        <v>0</v>
      </c>
      <c r="R55" s="457">
        <f>VLOOKUP($A55,OpCost[[Agency]:[FY25 Operating Cost Performance]], 4, FALSE)</f>
        <v>23750125</v>
      </c>
      <c r="S55" s="466">
        <f>VLOOKUP($A55,Ridership[[Agency]:[FY25 Ridership]], 4, FALSE)</f>
        <v>2106063</v>
      </c>
      <c r="T55" s="466">
        <f>VLOOKUP($A55,VRH[[Agency]:[FY25 Revenue Hours]], 3, FALSE)</f>
        <v>216250</v>
      </c>
      <c r="U55" s="466">
        <f>VLOOKUP($A55,VRM[[Agency]:[FY25 Revenue Miles]], 3, FALSE)</f>
        <v>2083544</v>
      </c>
      <c r="V55" s="466">
        <f>VLOOKUP(A55,PMT!$A$3:$D$12, 2, FALSE)</f>
        <v>5273946</v>
      </c>
      <c r="W55" s="302"/>
      <c r="X55" s="991">
        <f>S55/T55</f>
        <v>9.7390196531791915</v>
      </c>
      <c r="Y55" s="991">
        <f>S55/U55</f>
        <v>1.0108080270923003</v>
      </c>
      <c r="Z55" s="992">
        <f>R55/T55</f>
        <v>109.8271676300578</v>
      </c>
      <c r="AA55" s="992">
        <f>R55/U55</f>
        <v>11.398907342489528</v>
      </c>
      <c r="AB55" s="992">
        <f>R55/S55</f>
        <v>11.277024951295379</v>
      </c>
      <c r="AC55" s="993">
        <f t="shared" si="103"/>
        <v>2.5312381212011843</v>
      </c>
      <c r="AD55" s="993">
        <f t="shared" si="104"/>
        <v>24.388189595375721</v>
      </c>
      <c r="AE55" s="1007">
        <f t="shared" si="105"/>
        <v>0</v>
      </c>
      <c r="AF55" s="1007">
        <f t="shared" ref="AF55:AF63" si="115">IF($X$12="Yes",(IF($W$6="Weighted Average",IF(Y55&gt;=Y$64,1,0),IF($W$6="MEDIAN",IF(Y55&gt;=Y$65,1,0),IF($W$6="MEAN",IF(Y55&gt;=Y$66,1,0),IF($W$6="PERCENTILE",IF(Y55&gt;=Y$67,1,0),IF(Y55&gt;=Y$68,1,0)) )))), 0)</f>
        <v>1</v>
      </c>
      <c r="AG55" s="1007">
        <f t="shared" si="107"/>
        <v>0</v>
      </c>
      <c r="AH55" s="1007">
        <f t="shared" ref="AH55:AH63" si="116">IF($Z$12="Yes",(IF($W$6="Weighted Average",IF(AA55&lt;=AA$64,1,0),IF($W$6="MEDIAN",IF(AA55&lt;=AA$65,1,0),IF($W$6="MEAN",IF(AA55&lt;=AA$66,1,0),IF($W$6="PERCENTILE",IF(AA55&lt;=AA$67,1,0),IF(AA55&lt;=AA$68,1,0)) )))), 0)</f>
        <v>0</v>
      </c>
      <c r="AI55" s="1007">
        <f t="shared" ref="AI55:AI63" si="117">IF($Z$12="Yes",(IF($W$6="Weighted Average",IF(AB55&lt;=AB$64,1,0),IF($W$6="MEDIAN",IF(AB55&lt;=AB$65,1,0),IF($W$6="MEAN",IF(AB55&lt;=AB$66,1,0),IF($W$6="PERCENTILE",IF(AB55&lt;=AB$67,1,0),IF(AB55&lt;=AB$68,1,0)) )))), 0)</f>
        <v>0</v>
      </c>
      <c r="AJ55" s="1007">
        <f t="shared" si="109"/>
        <v>0</v>
      </c>
      <c r="AK55" s="1007">
        <f t="shared" si="110"/>
        <v>0</v>
      </c>
      <c r="AL55" s="1008">
        <f t="shared" ref="AL55:AL63" si="118">MIN(SUM(AE55:AK55),$AL$6)</f>
        <v>1</v>
      </c>
      <c r="AM55" s="302">
        <f t="shared" ref="AM55:AM63" si="119">M55*AL55</f>
        <v>5.634932590679969E-2</v>
      </c>
      <c r="AN55" s="1011">
        <f t="shared" ref="AN55:AN63" si="120">AM55/$AM$64</f>
        <v>4.1728821028808497E-2</v>
      </c>
      <c r="AO55" s="1012">
        <f t="shared" si="111"/>
        <v>227568.74195595627</v>
      </c>
      <c r="AP55" s="1034">
        <f t="shared" ref="AP55:AP63" si="121">AO55+N55</f>
        <v>5806986.2356776996</v>
      </c>
      <c r="AQ55" s="1020">
        <f>VLOOKUP(A55,'Allocation Calculations_FY25'!$B$9:$CA$48, 78, FALSE)</f>
        <v>5574618</v>
      </c>
      <c r="AR55" s="1021">
        <f t="shared" ref="AR55:AR63" si="122">AP55-AQ55</f>
        <v>232368.23567769956</v>
      </c>
      <c r="AS55" s="1022">
        <f t="shared" ref="AS55:AS63" si="123">AR55/AQ55</f>
        <v>4.1683257162679052E-2</v>
      </c>
    </row>
    <row r="56" spans="1:45" ht="14.25" hidden="1">
      <c r="A56" s="472" t="s">
        <v>48</v>
      </c>
      <c r="B56" s="892">
        <f>VLOOKUP($A56, 'Allocation Calculations_FY25'!$B$9:$C$48, 2, FALSE)</f>
        <v>5328325</v>
      </c>
      <c r="C56" s="892">
        <f>VLOOKUP($A56, OpCost[], 12, FALSE)</f>
        <v>5080197</v>
      </c>
      <c r="D56" s="893">
        <f>VLOOKUP($A56, Ridership[],12, FALSE)</f>
        <v>548763.66666666663</v>
      </c>
      <c r="E56" s="893">
        <f>VLOOKUP($A56, VRHsizing[], 12, FALSE)</f>
        <v>34654.666666666664</v>
      </c>
      <c r="F56" s="893">
        <f>VLOOKUP($A56, VRMsizing[],12, FALSE)</f>
        <v>437545.33333333331</v>
      </c>
      <c r="G56" s="894">
        <f t="shared" si="112"/>
        <v>1.1046482033083357E-2</v>
      </c>
      <c r="H56" s="894">
        <f t="shared" si="98"/>
        <v>1.0916083941442344E-2</v>
      </c>
      <c r="I56" s="886">
        <f t="shared" si="113"/>
        <v>1.3450330838178219E-2</v>
      </c>
      <c r="J56" s="887">
        <f>MIN(0.3*LargeUrban!B56,LargeUrban!I56*Assumptions!$C$29)</f>
        <v>1331781.8796803192</v>
      </c>
      <c r="K56" s="887"/>
      <c r="L56" s="888">
        <f>I56*Assumptions!$C$29-LargeUrban!J56</f>
        <v>0</v>
      </c>
      <c r="M56" s="880">
        <f t="shared" si="114"/>
        <v>1.3136925555525489E-2</v>
      </c>
      <c r="N56" s="889">
        <f>MIN(0.3*B56,M56*Assumptions!$C$29)</f>
        <v>1300750.1168594183</v>
      </c>
      <c r="O56" s="889"/>
      <c r="P56" s="890">
        <f>M56*Assumptions!$C$29-N56</f>
        <v>0</v>
      </c>
      <c r="R56" s="457">
        <f>VLOOKUP($A56,OpCost[[Agency]:[FY25 Operating Cost Performance]], 4, FALSE)</f>
        <v>5328325</v>
      </c>
      <c r="S56" s="466">
        <f>VLOOKUP($A56,Ridership[[Agency]:[FY25 Ridership]], 4, FALSE)</f>
        <v>847511</v>
      </c>
      <c r="T56" s="466">
        <f>VLOOKUP($A56,VRH[[Agency]:[FY25 Revenue Hours]], 3, FALSE)</f>
        <v>34638</v>
      </c>
      <c r="U56" s="466">
        <f>VLOOKUP($A56,VRM[[Agency]:[FY25 Revenue Miles]], 3, FALSE)</f>
        <v>434291</v>
      </c>
      <c r="V56" s="466">
        <f>VLOOKUP(A56,PMT!$A$3:$D$12, 2, FALSE)</f>
        <v>2558100</v>
      </c>
      <c r="W56" s="302"/>
      <c r="X56" s="991">
        <f t="shared" ref="X56:X63" si="124">S56/T56</f>
        <v>24.467665569605636</v>
      </c>
      <c r="Y56" s="991">
        <f t="shared" ref="Y56:Y64" si="125">S56/U56</f>
        <v>1.9514818405170726</v>
      </c>
      <c r="Z56" s="992">
        <f t="shared" ref="Z56:Z63" si="126">R56/T56</f>
        <v>153.82888734915412</v>
      </c>
      <c r="AA56" s="992">
        <f t="shared" ref="AA56:AA64" si="127">R56/U56</f>
        <v>12.269020081005593</v>
      </c>
      <c r="AB56" s="992">
        <f t="shared" ref="AB56:AB64" si="128">R56/S56</f>
        <v>6.2870275430053413</v>
      </c>
      <c r="AC56" s="993">
        <f t="shared" si="103"/>
        <v>5.8902901510738195</v>
      </c>
      <c r="AD56" s="993">
        <f t="shared" si="104"/>
        <v>73.852416421271442</v>
      </c>
      <c r="AE56" s="1007">
        <f t="shared" si="105"/>
        <v>1</v>
      </c>
      <c r="AF56" s="1007">
        <f t="shared" si="115"/>
        <v>1</v>
      </c>
      <c r="AG56" s="1007">
        <f t="shared" si="107"/>
        <v>0</v>
      </c>
      <c r="AH56" s="1007">
        <f t="shared" si="116"/>
        <v>0</v>
      </c>
      <c r="AI56" s="1007">
        <f t="shared" si="117"/>
        <v>0</v>
      </c>
      <c r="AJ56" s="1007">
        <f t="shared" si="109"/>
        <v>1</v>
      </c>
      <c r="AK56" s="1007">
        <f t="shared" si="110"/>
        <v>1</v>
      </c>
      <c r="AL56" s="1008">
        <f t="shared" si="118"/>
        <v>4</v>
      </c>
      <c r="AM56" s="302">
        <f t="shared" si="119"/>
        <v>5.2547702222101957E-2</v>
      </c>
      <c r="AN56" s="1011">
        <f t="shared" si="120"/>
        <v>3.8913573964096261E-2</v>
      </c>
      <c r="AO56" s="1012">
        <f t="shared" si="111"/>
        <v>212215.75049785909</v>
      </c>
      <c r="AP56" s="1034">
        <f t="shared" si="121"/>
        <v>1512965.8673572773</v>
      </c>
      <c r="AQ56" s="1020">
        <f>VLOOKUP(A56,'Allocation Calculations_FY25'!$B$9:$CA$48, 78, FALSE)</f>
        <v>1598498</v>
      </c>
      <c r="AR56" s="1021">
        <f t="shared" si="122"/>
        <v>-85532.132642722689</v>
      </c>
      <c r="AS56" s="1022">
        <f t="shared" si="123"/>
        <v>-5.3507813361494787E-2</v>
      </c>
    </row>
    <row r="57" spans="1:45" ht="14.25" hidden="1">
      <c r="A57" s="472" t="s">
        <v>49</v>
      </c>
      <c r="B57" s="892">
        <f>VLOOKUP($A57, 'Allocation Calculations_FY25'!$B$9:$C$48, 2, FALSE)</f>
        <v>108069575</v>
      </c>
      <c r="C57" s="892">
        <f>VLOOKUP($A57, OpCost[], 12, FALSE)</f>
        <v>102882769.66666667</v>
      </c>
      <c r="D57" s="893">
        <f>VLOOKUP($A57, Ridership[],12, FALSE)</f>
        <v>6040933</v>
      </c>
      <c r="E57" s="893">
        <f>VLOOKUP($A57, VRHsizing[], 12, FALSE)</f>
        <v>823041.66666666663</v>
      </c>
      <c r="F57" s="893">
        <f>VLOOKUP($A57, VRMsizing[],12, FALSE)</f>
        <v>10682739.333333334</v>
      </c>
      <c r="G57" s="894">
        <f t="shared" si="112"/>
        <v>0.19375699586618902</v>
      </c>
      <c r="H57" s="894">
        <f t="shared" si="98"/>
        <v>0.19460394742658121</v>
      </c>
      <c r="I57" s="886">
        <f t="shared" si="113"/>
        <v>0.23592087406712087</v>
      </c>
      <c r="J57" s="887">
        <f>MIN(0.3*LargeUrban!B57,LargeUrban!I57*Assumptions!$C$29)</f>
        <v>23359659.245637577</v>
      </c>
      <c r="K57" s="887"/>
      <c r="L57" s="888">
        <f>I57*Assumptions!$C$29-LargeUrban!J57</f>
        <v>0</v>
      </c>
      <c r="M57" s="880">
        <f t="shared" si="114"/>
        <v>0.23419548474236107</v>
      </c>
      <c r="N57" s="889">
        <f>MIN(0.3*B57,M57*Assumptions!$C$29)</f>
        <v>23188820.158796187</v>
      </c>
      <c r="O57" s="889"/>
      <c r="P57" s="890">
        <f>M57*Assumptions!$C$29-N57</f>
        <v>0</v>
      </c>
      <c r="R57" s="457">
        <f>VLOOKUP($A57,OpCost[[Agency]:[FY25 Operating Cost Performance]], 4, FALSE)</f>
        <v>108453691</v>
      </c>
      <c r="S57" s="466">
        <f>VLOOKUP($A57,Ridership[[Agency]:[FY25 Ridership]], 4, FALSE)</f>
        <v>8365287</v>
      </c>
      <c r="T57" s="466">
        <f>VLOOKUP($A57,VRH[[Agency]:[FY25 Revenue Hours]], 3, FALSE)</f>
        <v>848788</v>
      </c>
      <c r="U57" s="466">
        <f>VLOOKUP($A57,VRM[[Agency]:[FY25 Revenue Miles]], 3, FALSE)</f>
        <v>10856360</v>
      </c>
      <c r="V57" s="466">
        <f>VLOOKUP(A57,PMT!$A$3:$D$12, 2, FALSE)</f>
        <v>44414321</v>
      </c>
      <c r="W57" s="302"/>
      <c r="X57" s="991">
        <f t="shared" si="124"/>
        <v>9.8555669967058908</v>
      </c>
      <c r="Y57" s="991">
        <f t="shared" si="125"/>
        <v>0.77054252069754503</v>
      </c>
      <c r="Z57" s="992">
        <f t="shared" si="126"/>
        <v>127.77476943594867</v>
      </c>
      <c r="AA57" s="992">
        <f t="shared" si="127"/>
        <v>9.989876072643133</v>
      </c>
      <c r="AB57" s="992">
        <f t="shared" si="128"/>
        <v>12.964730439015423</v>
      </c>
      <c r="AC57" s="993">
        <f t="shared" si="103"/>
        <v>4.0910877126403324</v>
      </c>
      <c r="AD57" s="993">
        <f t="shared" si="104"/>
        <v>52.326754148267881</v>
      </c>
      <c r="AE57" s="1007">
        <f t="shared" si="105"/>
        <v>0</v>
      </c>
      <c r="AF57" s="1007">
        <f t="shared" si="115"/>
        <v>0</v>
      </c>
      <c r="AG57" s="1007">
        <f t="shared" si="107"/>
        <v>0</v>
      </c>
      <c r="AH57" s="1007">
        <f t="shared" si="116"/>
        <v>0</v>
      </c>
      <c r="AI57" s="1007">
        <f t="shared" si="117"/>
        <v>0</v>
      </c>
      <c r="AJ57" s="1007">
        <f t="shared" si="109"/>
        <v>0</v>
      </c>
      <c r="AK57" s="1007">
        <f t="shared" si="110"/>
        <v>0</v>
      </c>
      <c r="AL57" s="1008">
        <f t="shared" si="118"/>
        <v>0</v>
      </c>
      <c r="AM57" s="302">
        <f t="shared" si="119"/>
        <v>0</v>
      </c>
      <c r="AN57" s="1011">
        <f t="shared" si="120"/>
        <v>0</v>
      </c>
      <c r="AO57" s="1012">
        <f t="shared" si="111"/>
        <v>0</v>
      </c>
      <c r="AP57" s="1034">
        <f t="shared" si="121"/>
        <v>23188820.158796187</v>
      </c>
      <c r="AQ57" s="1020">
        <f>VLOOKUP(A57,'Allocation Calculations_FY25'!$B$9:$CA$48, 78, FALSE)</f>
        <v>26810560</v>
      </c>
      <c r="AR57" s="1021">
        <f t="shared" si="122"/>
        <v>-3621739.8412038125</v>
      </c>
      <c r="AS57" s="1022">
        <f t="shared" si="123"/>
        <v>-0.13508631827174861</v>
      </c>
    </row>
    <row r="58" spans="1:45" ht="14.25" hidden="1">
      <c r="A58" s="472" t="s">
        <v>33</v>
      </c>
      <c r="B58" s="892">
        <v>18874570</v>
      </c>
      <c r="C58" s="892">
        <f>VLOOKUP($A58, OpCost[], 12, FALSE)</f>
        <v>17293584.333333332</v>
      </c>
      <c r="D58" s="893">
        <f>VLOOKUP($A58, Ridership[],12, FALSE)</f>
        <v>428080.66666666669</v>
      </c>
      <c r="E58" s="893">
        <f>VLOOKUP($A58, VRHsizing[], 12, FALSE)</f>
        <v>104622.66666666667</v>
      </c>
      <c r="F58" s="893">
        <f>VLOOKUP($A58, VRMsizing[],12, FALSE)</f>
        <v>2298608.6666666665</v>
      </c>
      <c r="G58" s="894">
        <f t="shared" si="112"/>
        <v>2.8362546793126626E-2</v>
      </c>
      <c r="H58" s="894">
        <f t="shared" si="98"/>
        <v>2.8539848625420906E-2</v>
      </c>
      <c r="I58" s="886">
        <f t="shared" si="113"/>
        <v>3.4534581836854837E-2</v>
      </c>
      <c r="J58" s="887">
        <f>MIN(0.3*LargeUrban!B58,LargeUrban!I58*Assumptions!$C$29)</f>
        <v>3419434.8723462182</v>
      </c>
      <c r="K58" s="887"/>
      <c r="L58" s="888">
        <f>I58*Assumptions!$C$29-LargeUrban!J58</f>
        <v>0</v>
      </c>
      <c r="M58" s="880">
        <f t="shared" si="114"/>
        <v>3.4346187586075105E-2</v>
      </c>
      <c r="N58" s="889">
        <f>MIN(0.3*B58,M58*Assumptions!$C$29)</f>
        <v>3400781.052418442</v>
      </c>
      <c r="O58" s="889"/>
      <c r="P58" s="890">
        <f>M58*Assumptions!$C$29-N58</f>
        <v>0</v>
      </c>
      <c r="R58" s="457">
        <f>VLOOKUP($A58,OpCost[[Agency]:[FY25 Operating Cost Performance]], 4, FALSE)</f>
        <v>18874570</v>
      </c>
      <c r="S58" s="466">
        <f>VLOOKUP($A58,Ridership[[Agency]:[FY25 Ridership]], 4, FALSE)</f>
        <v>527426</v>
      </c>
      <c r="T58" s="466">
        <f>VLOOKUP($A58,VRH[[Agency]:[FY25 Revenue Hours]], 3, FALSE)</f>
        <v>108286</v>
      </c>
      <c r="U58" s="466">
        <f>VLOOKUP($A58,VRM[[Agency]:[FY25 Revenue Miles]], 3, FALSE)</f>
        <v>1820398</v>
      </c>
      <c r="V58" s="466">
        <f>VLOOKUP(A58,PMT!$A$3:$D$12, 2, FALSE)</f>
        <v>7797386</v>
      </c>
      <c r="W58" s="302"/>
      <c r="X58" s="991">
        <f t="shared" si="124"/>
        <v>4.8706758029662192</v>
      </c>
      <c r="Y58" s="991">
        <f t="shared" si="125"/>
        <v>0.28973114670528094</v>
      </c>
      <c r="Z58" s="992">
        <f t="shared" si="126"/>
        <v>174.30295698428236</v>
      </c>
      <c r="AA58" s="992">
        <f t="shared" si="127"/>
        <v>10.368375487118751</v>
      </c>
      <c r="AB58" s="992">
        <f t="shared" si="128"/>
        <v>35.786195599003463</v>
      </c>
      <c r="AC58" s="993">
        <f t="shared" si="103"/>
        <v>4.283341335246468</v>
      </c>
      <c r="AD58" s="993">
        <f t="shared" si="104"/>
        <v>72.007332434479068</v>
      </c>
      <c r="AE58" s="1007">
        <f t="shared" si="105"/>
        <v>0</v>
      </c>
      <c r="AF58" s="1007">
        <f t="shared" si="115"/>
        <v>0</v>
      </c>
      <c r="AG58" s="1007">
        <f t="shared" si="107"/>
        <v>0</v>
      </c>
      <c r="AH58" s="1007">
        <f t="shared" si="116"/>
        <v>0</v>
      </c>
      <c r="AI58" s="1007">
        <f t="shared" si="117"/>
        <v>0</v>
      </c>
      <c r="AJ58" s="1007">
        <f t="shared" si="109"/>
        <v>1</v>
      </c>
      <c r="AK58" s="1007">
        <f t="shared" si="110"/>
        <v>1</v>
      </c>
      <c r="AL58" s="1008">
        <f t="shared" si="118"/>
        <v>2</v>
      </c>
      <c r="AM58" s="302">
        <f t="shared" si="119"/>
        <v>6.8692375172150211E-2</v>
      </c>
      <c r="AN58" s="1011">
        <f t="shared" si="120"/>
        <v>5.0869318904425954E-2</v>
      </c>
      <c r="AO58" s="1012">
        <f t="shared" si="111"/>
        <v>277416.58215660113</v>
      </c>
      <c r="AP58" s="1034">
        <f t="shared" si="121"/>
        <v>3678197.6345750429</v>
      </c>
      <c r="AQ58" s="1020">
        <v>3226579</v>
      </c>
      <c r="AR58" s="1021">
        <f t="shared" si="122"/>
        <v>451618.63457504287</v>
      </c>
      <c r="AS58" s="1022">
        <f t="shared" si="123"/>
        <v>0.13996825572070073</v>
      </c>
    </row>
    <row r="59" spans="1:45" ht="14.25" hidden="1">
      <c r="A59" s="472" t="s">
        <v>39</v>
      </c>
      <c r="B59" s="892">
        <f>VLOOKUP($A59, 'Allocation Calculations_FY25'!$B$9:$C$48, 2, FALSE)</f>
        <v>67417899</v>
      </c>
      <c r="C59" s="892">
        <f>VLOOKUP($A59, OpCost[], 12, FALSE)</f>
        <v>64011362.666666664</v>
      </c>
      <c r="D59" s="893">
        <f>VLOOKUP($A59, Ridership[],12, FALSE)</f>
        <v>8719222.666666666</v>
      </c>
      <c r="E59" s="893">
        <f>VLOOKUP($A59, VRHsizing[], 12, FALSE)</f>
        <v>593160.33333333337</v>
      </c>
      <c r="F59" s="893">
        <f>VLOOKUP($A59, VRMsizing[],12, FALSE)</f>
        <v>7223932</v>
      </c>
      <c r="G59" s="894">
        <f t="shared" si="112"/>
        <v>0.16005545785795314</v>
      </c>
      <c r="H59" s="894">
        <f t="shared" si="98"/>
        <v>0.16227701641713529</v>
      </c>
      <c r="I59" s="886">
        <f t="shared" si="113"/>
        <v>0.19488547160970307</v>
      </c>
      <c r="J59" s="887">
        <f>MIN(0.3*LargeUrban!B59,LargeUrban!I59*Assumptions!$C$29)</f>
        <v>19296546.889839172</v>
      </c>
      <c r="K59" s="887"/>
      <c r="L59" s="888">
        <f>I59*Assumptions!$C$29-LargeUrban!J59</f>
        <v>0</v>
      </c>
      <c r="M59" s="880">
        <f t="shared" si="114"/>
        <v>0.19529174523396126</v>
      </c>
      <c r="N59" s="889">
        <f>MIN(0.3*B59,M59*Assumptions!$C$29)</f>
        <v>19336773.9933572</v>
      </c>
      <c r="O59" s="889"/>
      <c r="P59" s="890">
        <f>M59*Assumptions!$C$29-N59</f>
        <v>0</v>
      </c>
      <c r="R59" s="457">
        <f>VLOOKUP($A59,OpCost[[Agency]:[FY25 Operating Cost Performance]], 4, FALSE)</f>
        <v>68802962</v>
      </c>
      <c r="S59" s="466">
        <f>VLOOKUP($A59,Ridership[[Agency]:[FY25 Ridership]], 4, FALSE)</f>
        <v>9625071</v>
      </c>
      <c r="T59" s="466">
        <f>VLOOKUP($A59,VRH[[Agency]:[FY25 Revenue Hours]], 3, FALSE)</f>
        <v>582073</v>
      </c>
      <c r="U59" s="466">
        <f>VLOOKUP($A59,VRM[[Agency]:[FY25 Revenue Miles]], 3, FALSE)</f>
        <v>7359404</v>
      </c>
      <c r="V59" s="466">
        <f>VLOOKUP(A59,PMT!$A$3:$D$12, 2, FALSE)</f>
        <v>48410504</v>
      </c>
      <c r="W59" s="302"/>
      <c r="X59" s="991">
        <f t="shared" si="124"/>
        <v>16.535848596310085</v>
      </c>
      <c r="Y59" s="991">
        <f t="shared" si="125"/>
        <v>1.3078601201945157</v>
      </c>
      <c r="Z59" s="992">
        <f t="shared" si="126"/>
        <v>118.20332157650328</v>
      </c>
      <c r="AA59" s="992">
        <f t="shared" si="127"/>
        <v>9.3489855972032512</v>
      </c>
      <c r="AB59" s="992">
        <f t="shared" si="128"/>
        <v>7.148306957943479</v>
      </c>
      <c r="AC59" s="993">
        <f t="shared" si="103"/>
        <v>6.5780468092253122</v>
      </c>
      <c r="AD59" s="993">
        <f t="shared" si="104"/>
        <v>83.169128270852624</v>
      </c>
      <c r="AE59" s="1007">
        <f t="shared" si="105"/>
        <v>1</v>
      </c>
      <c r="AF59" s="1007">
        <f t="shared" si="115"/>
        <v>1</v>
      </c>
      <c r="AG59" s="1007">
        <f t="shared" si="107"/>
        <v>0</v>
      </c>
      <c r="AH59" s="1007">
        <f t="shared" si="116"/>
        <v>0</v>
      </c>
      <c r="AI59" s="1007">
        <f t="shared" si="117"/>
        <v>0</v>
      </c>
      <c r="AJ59" s="1007">
        <f t="shared" si="109"/>
        <v>1</v>
      </c>
      <c r="AK59" s="1007">
        <f t="shared" si="110"/>
        <v>1</v>
      </c>
      <c r="AL59" s="1008">
        <f t="shared" si="118"/>
        <v>4</v>
      </c>
      <c r="AM59" s="302">
        <f t="shared" si="119"/>
        <v>0.78116698093584502</v>
      </c>
      <c r="AN59" s="1011">
        <f t="shared" si="120"/>
        <v>0.57848388807705375</v>
      </c>
      <c r="AO59" s="1012">
        <f t="shared" si="111"/>
        <v>3154770.4297852349</v>
      </c>
      <c r="AP59" s="1034">
        <f t="shared" si="121"/>
        <v>22491544.423142433</v>
      </c>
      <c r="AQ59" s="1020">
        <f>VLOOKUP(A59,'Allocation Calculations_FY25'!$B$9:$CA$48, 78, FALSE)</f>
        <v>20270143</v>
      </c>
      <c r="AR59" s="1021">
        <f t="shared" si="122"/>
        <v>2221401.4231424332</v>
      </c>
      <c r="AS59" s="1022">
        <f t="shared" si="123"/>
        <v>0.10958982495300765</v>
      </c>
    </row>
    <row r="60" spans="1:45" ht="14.25" hidden="1">
      <c r="A60" s="472" t="s">
        <v>42</v>
      </c>
      <c r="B60" s="892">
        <f>VLOOKUP($A60, 'Allocation Calculations_FY25'!$B$9:$C$48, 2, FALSE)</f>
        <v>119888784</v>
      </c>
      <c r="C60" s="892">
        <f>VLOOKUP($A60, OpCost[], 12, FALSE)</f>
        <v>108272839.33333333</v>
      </c>
      <c r="D60" s="893">
        <f>VLOOKUP($A60, Ridership[],12, FALSE)</f>
        <v>6655458.333333333</v>
      </c>
      <c r="E60" s="893">
        <f>VLOOKUP($A60, VRHsizing[], 12, FALSE)</f>
        <v>937756.66666666663</v>
      </c>
      <c r="F60" s="893">
        <f>VLOOKUP($A60, VRMsizing[],12, FALSE)</f>
        <v>13499199</v>
      </c>
      <c r="G60" s="894">
        <f t="shared" si="112"/>
        <v>0.21254868050651934</v>
      </c>
      <c r="H60" s="894">
        <f t="shared" si="98"/>
        <v>0.21667544847559408</v>
      </c>
      <c r="I60" s="886">
        <f t="shared" si="113"/>
        <v>0.2588018577741667</v>
      </c>
      <c r="J60" s="887">
        <f>MIN(0.3*LargeUrban!B60,LargeUrban!I60*Assumptions!$C$29)</f>
        <v>25625215.3763321</v>
      </c>
      <c r="K60" s="887"/>
      <c r="L60" s="888">
        <f>I60*Assumptions!$C$29-LargeUrban!J60</f>
        <v>0</v>
      </c>
      <c r="M60" s="880">
        <f t="shared" si="114"/>
        <v>0.26075736057026661</v>
      </c>
      <c r="N60" s="889">
        <f>MIN(0.3*B60,M60*Assumptions!$C$29)</f>
        <v>25818839.103572909</v>
      </c>
      <c r="O60" s="889"/>
      <c r="P60" s="890">
        <f>M60*Assumptions!$C$29-N60</f>
        <v>0</v>
      </c>
      <c r="R60" s="457">
        <f>VLOOKUP($A60,OpCost[[Agency]:[FY25 Operating Cost Performance]], 4, FALSE)</f>
        <v>120169392</v>
      </c>
      <c r="S60" s="466">
        <f>VLOOKUP($A60,Ridership[[Agency]:[FY25 Ridership]], 4, FALSE)</f>
        <v>7133773</v>
      </c>
      <c r="T60" s="466">
        <f>VLOOKUP($A60,VRH[[Agency]:[FY25 Revenue Hours]], 3, FALSE)</f>
        <v>955047</v>
      </c>
      <c r="U60" s="466">
        <f>VLOOKUP($A60,VRM[[Agency]:[FY25 Revenue Miles]], 3, FALSE)</f>
        <v>12904187</v>
      </c>
      <c r="V60" s="466">
        <f>VLOOKUP(A60,PMT!$A$3:$D$12, 2, FALSE)</f>
        <v>36797144</v>
      </c>
      <c r="W60" s="302"/>
      <c r="X60" s="991">
        <f t="shared" si="124"/>
        <v>7.4695517602798605</v>
      </c>
      <c r="Y60" s="991">
        <f t="shared" si="125"/>
        <v>0.55282622609235277</v>
      </c>
      <c r="Z60" s="992">
        <f t="shared" si="126"/>
        <v>125.82563161812979</v>
      </c>
      <c r="AA60" s="992">
        <f t="shared" si="127"/>
        <v>9.3124341734973299</v>
      </c>
      <c r="AB60" s="992">
        <f t="shared" si="128"/>
        <v>16.845138189847084</v>
      </c>
      <c r="AC60" s="993">
        <f t="shared" si="103"/>
        <v>2.851566239701889</v>
      </c>
      <c r="AD60" s="993">
        <f t="shared" si="104"/>
        <v>38.529144638954939</v>
      </c>
      <c r="AE60" s="1007">
        <f t="shared" si="105"/>
        <v>0</v>
      </c>
      <c r="AF60" s="1007">
        <f t="shared" si="115"/>
        <v>0</v>
      </c>
      <c r="AG60" s="1007">
        <f t="shared" si="107"/>
        <v>0</v>
      </c>
      <c r="AH60" s="1007">
        <f t="shared" si="116"/>
        <v>0</v>
      </c>
      <c r="AI60" s="1007">
        <f t="shared" si="117"/>
        <v>0</v>
      </c>
      <c r="AJ60" s="1007">
        <f t="shared" si="109"/>
        <v>0</v>
      </c>
      <c r="AK60" s="1007">
        <f t="shared" si="110"/>
        <v>0</v>
      </c>
      <c r="AL60" s="1008">
        <f t="shared" si="118"/>
        <v>0</v>
      </c>
      <c r="AM60" s="302">
        <f t="shared" si="119"/>
        <v>0</v>
      </c>
      <c r="AN60" s="1011">
        <f t="shared" si="120"/>
        <v>0</v>
      </c>
      <c r="AO60" s="1012">
        <f t="shared" si="111"/>
        <v>0</v>
      </c>
      <c r="AP60" s="1034">
        <f t="shared" si="121"/>
        <v>25818839.103572909</v>
      </c>
      <c r="AQ60" s="1020">
        <f>VLOOKUP(A60,'Allocation Calculations_FY25'!$B$9:$CA$48, 78, FALSE)</f>
        <v>24937766</v>
      </c>
      <c r="AR60" s="1021">
        <f t="shared" si="122"/>
        <v>881073.10357290879</v>
      </c>
      <c r="AS60" s="1022">
        <f t="shared" si="123"/>
        <v>3.5330875410929302E-2</v>
      </c>
    </row>
    <row r="61" spans="1:45" ht="14.25" hidden="1">
      <c r="A61" s="472" t="s">
        <v>29</v>
      </c>
      <c r="B61" s="892">
        <f>VLOOKUP($A61, 'Allocation Calculations_FY25'!$B$9:$C$48, 2, FALSE)</f>
        <v>4660277</v>
      </c>
      <c r="C61" s="892">
        <f>VLOOKUP($A61, OpCost[], 12, FALSE)</f>
        <v>4490920.666666667</v>
      </c>
      <c r="D61" s="893">
        <f>VLOOKUP($A61, Ridership[],12, FALSE)</f>
        <v>403948.66666666669</v>
      </c>
      <c r="E61" s="893">
        <f>VLOOKUP($A61, VRHsizing[], 12, FALSE)</f>
        <v>46033.666666666664</v>
      </c>
      <c r="F61" s="893">
        <f>VLOOKUP($A61, VRMsizing[],12, FALSE)</f>
        <v>552219.66666666663</v>
      </c>
      <c r="G61" s="894">
        <f t="shared" si="112"/>
        <v>9.9289876083255811E-3</v>
      </c>
      <c r="H61" s="894">
        <f t="shared" si="98"/>
        <v>1.0191071440526698E-2</v>
      </c>
      <c r="I61" s="886">
        <f t="shared" si="113"/>
        <v>1.2089656038925747E-2</v>
      </c>
      <c r="J61" s="887">
        <f>MIN(0.3*LargeUrban!B61,LargeUrban!I61*Assumptions!$C$29)</f>
        <v>1197054.9303149946</v>
      </c>
      <c r="K61" s="887"/>
      <c r="L61" s="888">
        <f>I61*Assumptions!$C$29-LargeUrban!J61</f>
        <v>0</v>
      </c>
      <c r="M61" s="880">
        <f t="shared" si="114"/>
        <v>1.226441162997796E-2</v>
      </c>
      <c r="N61" s="889">
        <f>MIN(0.3*B61,M61*Assumptions!$C$29)</f>
        <v>1214358.3210149133</v>
      </c>
      <c r="O61" s="889"/>
      <c r="P61" s="890">
        <f>M61*Assumptions!$C$29-N61</f>
        <v>0</v>
      </c>
      <c r="R61" s="457">
        <f>VLOOKUP($A61,OpCost[[Agency]:[FY25 Operating Cost Performance]], 4, FALSE)</f>
        <v>4736557</v>
      </c>
      <c r="S61" s="466">
        <f>VLOOKUP($A61,Ridership[[Agency]:[FY25 Ridership]], 4, FALSE)</f>
        <v>475942</v>
      </c>
      <c r="T61" s="466">
        <f>VLOOKUP($A61,VRH[[Agency]:[FY25 Revenue Hours]], 3, FALSE)</f>
        <v>43849</v>
      </c>
      <c r="U61" s="466">
        <f>VLOOKUP($A61,VRM[[Agency]:[FY25 Revenue Miles]], 3, FALSE)</f>
        <v>554292</v>
      </c>
      <c r="V61" s="466">
        <f>VLOOKUP(A61,PMT!$A$3:$D$12, 2, FALSE)</f>
        <v>0</v>
      </c>
      <c r="W61" s="302"/>
      <c r="X61" s="991">
        <f t="shared" si="124"/>
        <v>10.854112978631212</v>
      </c>
      <c r="Y61" s="991">
        <f t="shared" si="125"/>
        <v>0.8586485101715341</v>
      </c>
      <c r="Z61" s="992">
        <f t="shared" si="126"/>
        <v>108.01972678966453</v>
      </c>
      <c r="AA61" s="992">
        <f t="shared" si="127"/>
        <v>8.5452378890548673</v>
      </c>
      <c r="AB61" s="992">
        <f t="shared" si="128"/>
        <v>9.9519626341024754</v>
      </c>
      <c r="AC61" s="993" t="str">
        <f>IF(V61=0, "", V61/U61)</f>
        <v/>
      </c>
      <c r="AD61" s="993" t="str">
        <f>IF(V61=0, "",V61/T61)</f>
        <v/>
      </c>
      <c r="AE61" s="1007">
        <f t="shared" si="105"/>
        <v>0</v>
      </c>
      <c r="AF61" s="1007">
        <f t="shared" si="115"/>
        <v>0</v>
      </c>
      <c r="AG61" s="1007">
        <f t="shared" si="107"/>
        <v>0</v>
      </c>
      <c r="AH61" s="1007">
        <f t="shared" si="116"/>
        <v>0</v>
      </c>
      <c r="AI61" s="1007">
        <f t="shared" si="117"/>
        <v>0</v>
      </c>
      <c r="AJ61" s="1007">
        <f t="shared" si="109"/>
        <v>0</v>
      </c>
      <c r="AK61" s="1007">
        <f t="shared" si="110"/>
        <v>0</v>
      </c>
      <c r="AL61" s="1008">
        <f t="shared" si="118"/>
        <v>0</v>
      </c>
      <c r="AM61" s="302">
        <f t="shared" si="119"/>
        <v>0</v>
      </c>
      <c r="AN61" s="1011">
        <f t="shared" si="120"/>
        <v>0</v>
      </c>
      <c r="AO61" s="1012">
        <f t="shared" si="111"/>
        <v>0</v>
      </c>
      <c r="AP61" s="1034">
        <f t="shared" si="121"/>
        <v>1214358.3210149133</v>
      </c>
      <c r="AQ61" s="1020">
        <f>VLOOKUP(A61,'Allocation Calculations_FY25'!$B$9:$CA$48, 78, FALSE)</f>
        <v>1335726</v>
      </c>
      <c r="AR61" s="1021">
        <f t="shared" si="122"/>
        <v>-121367.67898508674</v>
      </c>
      <c r="AS61" s="1022">
        <f t="shared" si="123"/>
        <v>-9.0862706112695812E-2</v>
      </c>
    </row>
    <row r="62" spans="1:45" ht="14.25" hidden="1">
      <c r="A62" s="472" t="s">
        <v>40</v>
      </c>
      <c r="B62" s="892">
        <f>VLOOKUP($A62, 'Allocation Calculations_FY25'!$B$9:$C$48, 2, FALSE)</f>
        <v>12745096</v>
      </c>
      <c r="C62" s="892">
        <f>VLOOKUP($A62, OpCost[], 12, FALSE)</f>
        <v>11262324.333333334</v>
      </c>
      <c r="D62" s="893">
        <f>VLOOKUP($A62, Ridership[],12, FALSE)</f>
        <v>1172895</v>
      </c>
      <c r="E62" s="893">
        <f>VLOOKUP($A62, VRHsizing[], 12, FALSE)</f>
        <v>147625.33333333334</v>
      </c>
      <c r="F62" s="893">
        <f>VLOOKUP($A62, VRMsizing[],12, FALSE)</f>
        <v>2462307</v>
      </c>
      <c r="G62" s="894">
        <f t="shared" si="112"/>
        <v>2.9097962652013903E-2</v>
      </c>
      <c r="H62" s="894">
        <f t="shared" si="98"/>
        <v>3.1272290290582747E-2</v>
      </c>
      <c r="I62" s="886">
        <f t="shared" si="113"/>
        <v>3.5430033128592095E-2</v>
      </c>
      <c r="J62" s="887">
        <f>MIN(0.3*LargeUrban!B62,LargeUrban!I62*Assumptions!$C$29)</f>
        <v>3508097.8070219234</v>
      </c>
      <c r="K62" s="887"/>
      <c r="L62" s="888">
        <f>I62*Assumptions!$C$29-LargeUrban!J62</f>
        <v>0</v>
      </c>
      <c r="M62" s="880">
        <f t="shared" si="114"/>
        <v>3.763453558088764E-2</v>
      </c>
      <c r="N62" s="889">
        <f>MIN(0.3*B62,M62*Assumptions!$C$29)</f>
        <v>3726376.1865651649</v>
      </c>
      <c r="O62" s="889"/>
      <c r="P62" s="890">
        <f>M62*Assumptions!$C$29-N62</f>
        <v>0</v>
      </c>
      <c r="R62" s="457">
        <f>VLOOKUP($A62,OpCost[[Agency]:[FY25 Operating Cost Performance]], 4, FALSE)</f>
        <v>12745096</v>
      </c>
      <c r="S62" s="466">
        <f>VLOOKUP($A62,Ridership[[Agency]:[FY25 Ridership]], 4, FALSE)</f>
        <v>1287135</v>
      </c>
      <c r="T62" s="466">
        <f>VLOOKUP($A62,VRH[[Agency]:[FY25 Revenue Hours]], 3, FALSE)</f>
        <v>141516</v>
      </c>
      <c r="U62" s="466">
        <f>VLOOKUP($A62,VRM[[Agency]:[FY25 Revenue Miles]], 3, FALSE)</f>
        <v>2582667</v>
      </c>
      <c r="V62" s="466">
        <f>VLOOKUP(A62,PMT!$A$3:$D$12, 2, FALSE)</f>
        <v>7602285</v>
      </c>
      <c r="W62" s="302"/>
      <c r="X62" s="991">
        <f t="shared" si="124"/>
        <v>9.0953319765962863</v>
      </c>
      <c r="Y62" s="991">
        <f t="shared" si="125"/>
        <v>0.49837435488198828</v>
      </c>
      <c r="Z62" s="992">
        <f t="shared" si="126"/>
        <v>90.06116622855366</v>
      </c>
      <c r="AA62" s="992">
        <f t="shared" si="127"/>
        <v>4.9348584234823925</v>
      </c>
      <c r="AB62" s="992">
        <f t="shared" si="128"/>
        <v>9.9019108329740089</v>
      </c>
      <c r="AC62" s="993">
        <f t="shared" ref="AC62:AC63" si="129">IF(V62=0, "", V62/U62)</f>
        <v>2.9435792535390743</v>
      </c>
      <c r="AD62" s="993">
        <f t="shared" ref="AD62:AD63" si="130">IF(V62=0, "",V62/T62)</f>
        <v>53.720321377088105</v>
      </c>
      <c r="AE62" s="1007">
        <f t="shared" si="105"/>
        <v>0</v>
      </c>
      <c r="AF62" s="1007">
        <f t="shared" si="115"/>
        <v>0</v>
      </c>
      <c r="AG62" s="1007">
        <f t="shared" si="107"/>
        <v>0</v>
      </c>
      <c r="AH62" s="1007">
        <f t="shared" si="116"/>
        <v>0</v>
      </c>
      <c r="AI62" s="1007">
        <f t="shared" si="117"/>
        <v>0</v>
      </c>
      <c r="AJ62" s="1007">
        <f t="shared" si="109"/>
        <v>0</v>
      </c>
      <c r="AK62" s="1007">
        <f t="shared" si="110"/>
        <v>0</v>
      </c>
      <c r="AL62" s="1008">
        <f t="shared" si="118"/>
        <v>0</v>
      </c>
      <c r="AM62" s="302">
        <f t="shared" si="119"/>
        <v>0</v>
      </c>
      <c r="AN62" s="1011">
        <f t="shared" si="120"/>
        <v>0</v>
      </c>
      <c r="AO62" s="1012">
        <f t="shared" si="111"/>
        <v>0</v>
      </c>
      <c r="AP62" s="1034">
        <f t="shared" si="121"/>
        <v>3726376.1865651649</v>
      </c>
      <c r="AQ62" s="1020">
        <f>VLOOKUP(A62,'Allocation Calculations_FY25'!$B$9:$CA$48, 78, FALSE)</f>
        <v>3433985</v>
      </c>
      <c r="AR62" s="1021">
        <f t="shared" si="122"/>
        <v>292391.18656516494</v>
      </c>
      <c r="AS62" s="1022">
        <f t="shared" si="123"/>
        <v>8.5146320256251837E-2</v>
      </c>
    </row>
    <row r="63" spans="1:45" ht="15" hidden="1" thickBot="1">
      <c r="A63" s="472" t="s">
        <v>50</v>
      </c>
      <c r="B63" s="892">
        <f>VLOOKUP($A63, 'Allocation Calculations_FY25'!$B$9:$C$48, 2, FALSE)</f>
        <v>41578430</v>
      </c>
      <c r="C63" s="892">
        <f>VLOOKUP($A63, OpCost[], 12, FALSE)</f>
        <v>40784771.666666664</v>
      </c>
      <c r="D63" s="893">
        <f>VLOOKUP($A63, Ridership[],12, FALSE)</f>
        <v>1175266.6666666667</v>
      </c>
      <c r="E63" s="893">
        <f>VLOOKUP($A63, VRHsizing[], 12, FALSE)</f>
        <v>215243.20333333334</v>
      </c>
      <c r="F63" s="893">
        <f>VLOOKUP($A63, VRMsizing[],12, FALSE)</f>
        <v>5054445.126666666</v>
      </c>
      <c r="G63" s="894">
        <f t="shared" si="112"/>
        <v>6.6496043474216227E-2</v>
      </c>
      <c r="H63" s="894">
        <f t="shared" si="98"/>
        <v>6.6114300275666879E-2</v>
      </c>
      <c r="I63" s="886">
        <f t="shared" si="113"/>
        <v>8.0966391062733831E-2</v>
      </c>
      <c r="J63" s="887">
        <f>MIN(0.3*LargeUrban!B63,LargeUrban!I63*Assumptions!$C$29)</f>
        <v>8016871.3898389461</v>
      </c>
      <c r="K63" s="887"/>
      <c r="L63" s="887">
        <f>I63*Assumptions!$C$29-LargeUrban!J63</f>
        <v>0</v>
      </c>
      <c r="M63" s="880">
        <f t="shared" si="114"/>
        <v>7.9565038665535756E-2</v>
      </c>
      <c r="N63" s="889">
        <f>MIN(0.3*B63,M63*Assumptions!$C$29)</f>
        <v>7878116.7560616434</v>
      </c>
      <c r="O63" s="889"/>
      <c r="P63" s="890">
        <f>SUM(P54:P62)</f>
        <v>0</v>
      </c>
      <c r="R63" s="457">
        <f>VLOOKUP($A63,OpCost[[Agency]:[FY25 Operating Cost Performance]], 4, FALSE)</f>
        <v>45655907</v>
      </c>
      <c r="S63" s="466">
        <f>VLOOKUP($A63,Ridership[[Agency]:[FY25 Ridership]], 4, FALSE)</f>
        <v>1582491</v>
      </c>
      <c r="T63" s="466">
        <f>VLOOKUP($A63,VRH[[Agency]:[FY25 Revenue Hours]], 3, FALSE)</f>
        <v>142232</v>
      </c>
      <c r="U63" s="466">
        <f>VLOOKUP($A63,VRM[[Agency]:[FY25 Revenue Miles]], 3, FALSE)</f>
        <v>3292747</v>
      </c>
      <c r="V63" s="466">
        <f>VLOOKUP(A63,PMT!$A$3:$D$12, 2, FALSE)</f>
        <v>54836885</v>
      </c>
      <c r="W63" s="302"/>
      <c r="X63" s="994">
        <f t="shared" si="124"/>
        <v>11.126124922661567</v>
      </c>
      <c r="Y63" s="994">
        <f t="shared" si="125"/>
        <v>0.4805990256767374</v>
      </c>
      <c r="Z63" s="995">
        <f t="shared" si="126"/>
        <v>320.99602761685134</v>
      </c>
      <c r="AA63" s="995">
        <f t="shared" si="127"/>
        <v>13.865598237580961</v>
      </c>
      <c r="AB63" s="995">
        <f t="shared" si="128"/>
        <v>28.850658234391222</v>
      </c>
      <c r="AC63" s="996">
        <f t="shared" si="129"/>
        <v>16.65384100266434</v>
      </c>
      <c r="AD63" s="996">
        <f t="shared" si="130"/>
        <v>385.5453414140278</v>
      </c>
      <c r="AE63" s="1007">
        <f t="shared" si="105"/>
        <v>1</v>
      </c>
      <c r="AF63" s="1007">
        <f t="shared" si="115"/>
        <v>0</v>
      </c>
      <c r="AG63" s="1007">
        <f t="shared" si="107"/>
        <v>0</v>
      </c>
      <c r="AH63" s="1007">
        <f t="shared" si="116"/>
        <v>0</v>
      </c>
      <c r="AI63" s="1007">
        <f t="shared" si="117"/>
        <v>0</v>
      </c>
      <c r="AJ63" s="1007">
        <f t="shared" si="109"/>
        <v>1</v>
      </c>
      <c r="AK63" s="1007">
        <f t="shared" si="110"/>
        <v>1</v>
      </c>
      <c r="AL63" s="1037">
        <f t="shared" si="118"/>
        <v>3</v>
      </c>
      <c r="AM63" s="302">
        <f t="shared" si="119"/>
        <v>0.23869511599660725</v>
      </c>
      <c r="AN63" s="1013">
        <f t="shared" si="120"/>
        <v>0.17676282041683086</v>
      </c>
      <c r="AO63" s="1014">
        <f t="shared" si="111"/>
        <v>963978.65252588957</v>
      </c>
      <c r="AP63" s="1038">
        <f t="shared" si="121"/>
        <v>8842095.4085875321</v>
      </c>
      <c r="AQ63" s="1020">
        <f>VLOOKUP(A63,'Allocation Calculations_FY25'!$B$9:$CA$48, 78, FALSE)</f>
        <v>7946250</v>
      </c>
      <c r="AR63" s="1024">
        <f t="shared" si="122"/>
        <v>895845.40858753212</v>
      </c>
      <c r="AS63" s="1025">
        <f t="shared" si="123"/>
        <v>0.11273813542080001</v>
      </c>
    </row>
    <row r="64" spans="1:45" ht="15.75" hidden="1" thickTop="1" thickBot="1">
      <c r="A64" s="481" t="s">
        <v>121</v>
      </c>
      <c r="B64" s="906">
        <f>SUM(B54:B63)</f>
        <v>434211706</v>
      </c>
      <c r="C64" s="877">
        <f>SUM(C54:C63)</f>
        <v>405525500.33333337</v>
      </c>
      <c r="D64" s="905">
        <f t="shared" ref="D64:F64" si="131">SUM(D54:D63)</f>
        <v>29979096.333333332</v>
      </c>
      <c r="E64" s="905">
        <f t="shared" si="131"/>
        <v>3369396.5366666666</v>
      </c>
      <c r="F64" s="905">
        <f t="shared" si="131"/>
        <v>46726676.126666665</v>
      </c>
      <c r="G64" s="522"/>
      <c r="H64" s="522"/>
      <c r="I64" s="523"/>
      <c r="J64" s="524">
        <f>SUM(J54:J63)</f>
        <v>99014804.595000014</v>
      </c>
      <c r="K64" s="524"/>
      <c r="L64" s="524">
        <f>SUM(L54:L63)</f>
        <v>0</v>
      </c>
      <c r="M64" s="523">
        <f t="shared" ref="M64" si="132">K64/SUM($G$15:$G$24)</f>
        <v>0</v>
      </c>
      <c r="N64" s="524">
        <f>SUM(N54:N63)</f>
        <v>99014804.594999999</v>
      </c>
      <c r="O64" s="525"/>
      <c r="P64" s="524">
        <f>SUM(P54:P63)</f>
        <v>0</v>
      </c>
      <c r="R64" s="468">
        <f>SUM(R54:R63)</f>
        <v>440545071</v>
      </c>
      <c r="S64" s="468">
        <f t="shared" ref="S64" si="133">SUM(S54:S63)</f>
        <v>36530745</v>
      </c>
      <c r="T64" s="468">
        <f t="shared" ref="T64" si="134">SUM(T54:T63)</f>
        <v>3383286</v>
      </c>
      <c r="U64" s="468">
        <f t="shared" ref="U64:V64" si="135">SUM(U54:U63)</f>
        <v>44391019</v>
      </c>
      <c r="V64" s="468">
        <f t="shared" si="135"/>
        <v>218184384</v>
      </c>
      <c r="W64" s="461" t="s">
        <v>122</v>
      </c>
      <c r="X64" s="997">
        <f>S64/T64</f>
        <v>10.797415589459478</v>
      </c>
      <c r="Y64" s="997">
        <f t="shared" si="125"/>
        <v>0.82293098520671493</v>
      </c>
      <c r="Z64" s="998">
        <f>R64/T64</f>
        <v>130.21218750055419</v>
      </c>
      <c r="AA64" s="998">
        <f t="shared" si="127"/>
        <v>9.9241936978288336</v>
      </c>
      <c r="AB64" s="998">
        <f t="shared" si="128"/>
        <v>12.059569849998953</v>
      </c>
      <c r="AC64" s="999">
        <f>U64/V64</f>
        <v>0.20345644443554678</v>
      </c>
      <c r="AD64" s="999">
        <f>T64/V64</f>
        <v>1.5506545143029118E-2</v>
      </c>
      <c r="AE64" s="1045">
        <f>SUM(AE54:AE63)</f>
        <v>4</v>
      </c>
      <c r="AF64" s="1045">
        <f t="shared" ref="AF64" si="136">SUM(AF54:AF63)</f>
        <v>4</v>
      </c>
      <c r="AG64" s="1045">
        <f t="shared" ref="AG64" si="137">SUM(AG54:AG63)</f>
        <v>0</v>
      </c>
      <c r="AH64" s="1045">
        <f t="shared" ref="AH64" si="138">SUM(AH54:AH63)</f>
        <v>0</v>
      </c>
      <c r="AI64" s="1045">
        <f t="shared" ref="AI64" si="139">SUM(AI54:AI63)</f>
        <v>0</v>
      </c>
      <c r="AJ64" s="1015">
        <f t="shared" ref="AJ64" si="140">SUM(AJ54:AJ63)</f>
        <v>4</v>
      </c>
      <c r="AK64" s="1016">
        <f t="shared" ref="AK64" si="141">SUM(AK54:AK63)</f>
        <v>4</v>
      </c>
      <c r="AL64" s="1039">
        <f>SUM(AL54:AL63)</f>
        <v>16</v>
      </c>
      <c r="AM64" s="302">
        <f>SUM(AM54:AM63)</f>
        <v>1.3503694692907229</v>
      </c>
      <c r="AN64" s="1009">
        <f>SUM(AN54:AN63)</f>
        <v>1</v>
      </c>
      <c r="AO64" s="1010">
        <f t="shared" si="111"/>
        <v>5453514.7733708723</v>
      </c>
      <c r="AP64" s="1040">
        <f>SUM(AP54:AP63)</f>
        <v>104468319.36837086</v>
      </c>
      <c r="AQ64" s="1026">
        <f>SUM(AQ54:AQ63)</f>
        <v>104571973</v>
      </c>
      <c r="AR64" s="1027"/>
      <c r="AS64" s="1028"/>
    </row>
    <row r="65" spans="1:45" ht="15" hidden="1" customHeight="1">
      <c r="A65" s="907" t="s">
        <v>123</v>
      </c>
      <c r="C65" s="370">
        <f>C64-'Op Cost - Performance'!L42</f>
        <v>0</v>
      </c>
      <c r="D65" s="371">
        <f>D64-'Ridership'!L42</f>
        <v>0</v>
      </c>
      <c r="E65" s="371">
        <f>E64-'Revenue Hours - Sizing'!L42</f>
        <v>0</v>
      </c>
      <c r="F65" s="371">
        <f>F64-'Revenue Miles - Sizing'!L42</f>
        <v>0</v>
      </c>
      <c r="W65" s="461" t="s">
        <v>124</v>
      </c>
      <c r="X65" s="1000">
        <f>MEDIAN(X54:X63)</f>
        <v>10.354839987668552</v>
      </c>
      <c r="Y65" s="1000">
        <f t="shared" ref="Y65:AB65" si="142">MEDIAN(Y54:Y63)</f>
        <v>0.81459551543453956</v>
      </c>
      <c r="Z65" s="1041">
        <f t="shared" si="142"/>
        <v>122.01447659731653</v>
      </c>
      <c r="AA65" s="1041">
        <f t="shared" si="142"/>
        <v>10.179125779880941</v>
      </c>
      <c r="AB65" s="1041">
        <f t="shared" si="142"/>
        <v>10.614493792698926</v>
      </c>
      <c r="AC65" s="1002">
        <f>MEDIAN(AC54:AC63)</f>
        <v>4.192278144674126</v>
      </c>
      <c r="AD65" s="1002">
        <f t="shared" ref="AD65" si="143">MEDIAN(AD54:AD63)</f>
        <v>53.720321377088105</v>
      </c>
      <c r="AE65" s="983"/>
      <c r="AF65" s="983"/>
      <c r="AG65" s="983"/>
      <c r="AH65" s="983"/>
      <c r="AI65" s="983"/>
      <c r="AJ65" s="984"/>
      <c r="AK65" s="983"/>
      <c r="AL65" s="302"/>
      <c r="AM65" s="302"/>
      <c r="AN65" s="302"/>
      <c r="AO65" s="302"/>
      <c r="AP65" s="1029">
        <f>AP64+SmallUrban!AP56+Rural!AL89</f>
        <v>128674209.99999999</v>
      </c>
      <c r="AQ65" s="302"/>
      <c r="AR65" s="302"/>
      <c r="AS65" s="302"/>
    </row>
    <row r="66" spans="1:45" ht="15" hidden="1" customHeight="1">
      <c r="W66" s="461" t="s">
        <v>126</v>
      </c>
      <c r="X66" s="1000">
        <f>AVERAGE(X53:X63)</f>
        <v>11.875936761210179</v>
      </c>
      <c r="Y66" s="1000">
        <f>AVERAGE(Y53:Y63)</f>
        <v>0.95506000840739724</v>
      </c>
      <c r="Z66" s="1001">
        <f>AVERAGE(Z53:Z63)</f>
        <v>143.19553158549525</v>
      </c>
      <c r="AA66" s="1001">
        <f>AVERAGE(AA53:AA63)</f>
        <v>10.28286570268404</v>
      </c>
      <c r="AB66" s="1001">
        <f>AVERAGE(AB53:AB63)</f>
        <v>14.600599562615184</v>
      </c>
      <c r="AC66" s="1002">
        <f t="shared" ref="AC66:AD66" si="144">AVERAGE(AC54:AC63)</f>
        <v>5.5572520855518395</v>
      </c>
      <c r="AD66" s="1002">
        <f t="shared" si="144"/>
        <v>90.813720560950642</v>
      </c>
      <c r="AE66" s="302"/>
      <c r="AF66" s="302"/>
      <c r="AG66" s="302"/>
      <c r="AH66" s="302"/>
      <c r="AI66" s="302"/>
      <c r="AJ66" s="302"/>
      <c r="AK66" s="302"/>
      <c r="AL66" s="302"/>
      <c r="AM66" s="302"/>
      <c r="AN66" s="302"/>
      <c r="AO66" s="302"/>
      <c r="AP66" s="302"/>
      <c r="AQ66" s="302"/>
      <c r="AR66" s="302"/>
      <c r="AS66" s="302"/>
    </row>
    <row r="67" spans="1:45" ht="15" hidden="1" customHeight="1">
      <c r="W67" s="462" t="s">
        <v>65</v>
      </c>
      <c r="X67" s="1000">
        <f>PERCENTILE(X54:X63,$AF67)</f>
        <v>10.962917756243355</v>
      </c>
      <c r="Y67" s="1000">
        <f>PERCENTILE(Y54:Y63,$AF67)</f>
        <v>0.91951231693984048</v>
      </c>
      <c r="Z67" s="1001">
        <f>PERCENTILE(Z54:Z63,(1-$AF67))</f>
        <v>114.85285999792509</v>
      </c>
      <c r="AA67" s="1001">
        <f>PERCENTILE(AA54:AA63,(1-$AF67))</f>
        <v>9.7335198824671796</v>
      </c>
      <c r="AB67" s="1001">
        <f>PERCENTILE(AB54:AB63,(1-$AF67))</f>
        <v>9.9319419136510891</v>
      </c>
      <c r="AC67" s="1002">
        <f t="shared" ref="AC67:AD67" si="145">PERCENTILE(AC54:AC63,$AF67)</f>
        <v>4.2651286971319999</v>
      </c>
      <c r="AD67" s="1002">
        <f t="shared" si="145"/>
        <v>68.349930223000868</v>
      </c>
      <c r="AE67" s="1019" t="s">
        <v>151</v>
      </c>
      <c r="AF67" s="1042">
        <f>W7</f>
        <v>0.6</v>
      </c>
      <c r="AG67" s="461" t="s">
        <v>152</v>
      </c>
      <c r="AH67" s="302"/>
      <c r="AI67" s="302"/>
      <c r="AJ67" s="302"/>
      <c r="AK67" s="302"/>
      <c r="AL67" s="302"/>
      <c r="AM67" s="302"/>
      <c r="AN67" s="302"/>
      <c r="AO67" s="302"/>
      <c r="AP67" s="302"/>
      <c r="AQ67" s="302"/>
      <c r="AR67" s="302"/>
      <c r="AS67" s="302"/>
    </row>
    <row r="68" spans="1:45" hidden="1">
      <c r="W68" s="533" t="s">
        <v>127</v>
      </c>
      <c r="X68" s="1000">
        <v>10.962917756243355</v>
      </c>
      <c r="Y68" s="1000">
        <v>0.89799581956190277</v>
      </c>
      <c r="Z68" s="1001">
        <v>114.85285999792509</v>
      </c>
      <c r="AA68" s="1001">
        <v>9.4913229853014442</v>
      </c>
      <c r="AB68" s="1001">
        <v>9.9319419136510891</v>
      </c>
      <c r="AC68" s="1002">
        <v>3.8434875472994143</v>
      </c>
      <c r="AD68" s="1002">
        <v>61.035125800044483</v>
      </c>
      <c r="AE68" s="461" t="s">
        <v>128</v>
      </c>
      <c r="AF68" s="302"/>
      <c r="AG68" s="302"/>
      <c r="AH68" s="302"/>
      <c r="AI68" s="302"/>
      <c r="AJ68" s="302"/>
      <c r="AK68" s="302"/>
      <c r="AL68" s="302"/>
      <c r="AM68" s="302"/>
      <c r="AN68" s="302"/>
      <c r="AO68" s="302"/>
      <c r="AP68" s="302"/>
      <c r="AQ68" s="302"/>
      <c r="AR68" s="302"/>
      <c r="AS68" s="302"/>
    </row>
    <row r="69" spans="1:45">
      <c r="W69" s="302"/>
      <c r="X69" s="302"/>
      <c r="Y69" s="302"/>
      <c r="Z69" s="302"/>
      <c r="AA69" s="302"/>
      <c r="AB69" s="302"/>
      <c r="AC69" s="302"/>
      <c r="AD69" s="302"/>
      <c r="AE69" s="302"/>
      <c r="AF69" s="302"/>
      <c r="AG69" s="302"/>
      <c r="AH69" s="302"/>
      <c r="AI69" s="302"/>
      <c r="AJ69" s="302"/>
      <c r="AK69" s="302"/>
      <c r="AL69" s="302"/>
      <c r="AM69" s="302"/>
      <c r="AN69" s="302"/>
      <c r="AO69" s="302"/>
      <c r="AP69" s="302"/>
      <c r="AQ69" s="302"/>
      <c r="AR69" s="302"/>
      <c r="AS69" s="302"/>
    </row>
    <row r="74" spans="1:45">
      <c r="A74" s="237" t="s">
        <v>78</v>
      </c>
    </row>
    <row r="75" spans="1:45">
      <c r="A75" s="237" t="s">
        <v>79</v>
      </c>
    </row>
  </sheetData>
  <sheetProtection algorithmName="SHA-512" hashValue="78fOSie3GD7TZMrwz9I7qhgjvM7OCccfL9ts3nIailk/ETyRetp+4Ypxgeu4ImVVihnAiT62s/KoXz8OkPEBKg==" saltValue="qiwoHmpRJ3RqQCIraKXbmQ==" spinCount="100000" sheet="1" objects="1" scenarios="1"/>
  <mergeCells count="13">
    <mergeCell ref="M8:P8"/>
    <mergeCell ref="M1:P1"/>
    <mergeCell ref="B13:H13"/>
    <mergeCell ref="M9:P9"/>
    <mergeCell ref="I9:L9"/>
    <mergeCell ref="I13:L13"/>
    <mergeCell ref="M13:P13"/>
    <mergeCell ref="B34:H34"/>
    <mergeCell ref="I34:L34"/>
    <mergeCell ref="M34:P34"/>
    <mergeCell ref="B52:H52"/>
    <mergeCell ref="I52:L52"/>
    <mergeCell ref="M52:P52"/>
  </mergeCells>
  <conditionalFormatting sqref="C26:F26">
    <cfRule type="cellIs" dxfId="126" priority="17" operator="notEqual">
      <formula>0</formula>
    </cfRule>
    <cfRule type="cellIs" dxfId="125" priority="18" operator="equal">
      <formula>" -   "</formula>
    </cfRule>
  </conditionalFormatting>
  <conditionalFormatting sqref="C47:F47">
    <cfRule type="cellIs" dxfId="124" priority="15" operator="notEqual">
      <formula>0</formula>
    </cfRule>
    <cfRule type="cellIs" dxfId="123" priority="16" operator="equal">
      <formula>" -   "</formula>
    </cfRule>
  </conditionalFormatting>
  <conditionalFormatting sqref="C65:F65">
    <cfRule type="cellIs" dxfId="122" priority="13" operator="notEqual">
      <formula>0</formula>
    </cfRule>
    <cfRule type="cellIs" dxfId="121" priority="14" operator="equal">
      <formula>" -   "</formula>
    </cfRule>
  </conditionalFormatting>
  <conditionalFormatting sqref="Q11">
    <cfRule type="cellIs" dxfId="120" priority="58" operator="notEqual">
      <formula>1</formula>
    </cfRule>
  </conditionalFormatting>
  <conditionalFormatting sqref="Q12">
    <cfRule type="expression" dxfId="119" priority="70">
      <formula>$Q$11&lt;&gt; 100%</formula>
    </cfRule>
  </conditionalFormatting>
  <conditionalFormatting sqref="W7">
    <cfRule type="expression" dxfId="118" priority="26">
      <formula>$W$6="PERCENTILE"</formula>
    </cfRule>
  </conditionalFormatting>
  <conditionalFormatting sqref="X7">
    <cfRule type="expression" dxfId="117" priority="27">
      <formula>$W$6="PERCENTILE"</formula>
    </cfRule>
  </conditionalFormatting>
  <conditionalFormatting sqref="X15:X26 X26:AD26">
    <cfRule type="expression" dxfId="116" priority="57">
      <formula>"&gt;$W$21"</formula>
    </cfRule>
  </conditionalFormatting>
  <conditionalFormatting sqref="X36:X47">
    <cfRule type="expression" dxfId="115" priority="51">
      <formula>"&gt;$W$21"</formula>
    </cfRule>
  </conditionalFormatting>
  <conditionalFormatting sqref="X54:X65">
    <cfRule type="expression" dxfId="114" priority="46">
      <formula>"&gt;$W$21"</formula>
    </cfRule>
  </conditionalFormatting>
  <conditionalFormatting sqref="X12:AD12">
    <cfRule type="cellIs" dxfId="113" priority="31" operator="equal">
      <formula>"No"</formula>
    </cfRule>
  </conditionalFormatting>
  <conditionalFormatting sqref="X47:AD47">
    <cfRule type="expression" dxfId="112" priority="8">
      <formula>"&gt;$W$21"</formula>
    </cfRule>
  </conditionalFormatting>
  <conditionalFormatting sqref="X65:AD65">
    <cfRule type="expression" dxfId="111" priority="1">
      <formula>"&gt;$W$21"</formula>
    </cfRule>
  </conditionalFormatting>
  <conditionalFormatting sqref="AE36:AI47">
    <cfRule type="cellIs" dxfId="110" priority="23" operator="equal">
      <formula>1</formula>
    </cfRule>
  </conditionalFormatting>
  <conditionalFormatting sqref="AE54:AI54 AE55:AK63">
    <cfRule type="cellIs" dxfId="109" priority="21" operator="equal">
      <formula>1</formula>
    </cfRule>
  </conditionalFormatting>
  <conditionalFormatting sqref="AE65:AI65 AK65">
    <cfRule type="cellIs" dxfId="108" priority="43" operator="equal">
      <formula>1</formula>
    </cfRule>
  </conditionalFormatting>
  <conditionalFormatting sqref="AE15:AK25">
    <cfRule type="cellIs" dxfId="107" priority="54" operator="equal">
      <formula>1</formula>
    </cfRule>
  </conditionalFormatting>
  <conditionalFormatting sqref="AF1">
    <cfRule type="expression" dxfId="106" priority="74">
      <formula>$X12="No"</formula>
    </cfRule>
  </conditionalFormatting>
  <conditionalFormatting sqref="AF2">
    <cfRule type="expression" dxfId="105" priority="78">
      <formula>$Y12="No"</formula>
    </cfRule>
  </conditionalFormatting>
  <conditionalFormatting sqref="AF3">
    <cfRule type="expression" dxfId="104" priority="82">
      <formula>$Z12="No"</formula>
    </cfRule>
  </conditionalFormatting>
  <conditionalFormatting sqref="AF4">
    <cfRule type="expression" dxfId="103" priority="86">
      <formula>$AA12="No"</formula>
    </cfRule>
  </conditionalFormatting>
  <conditionalFormatting sqref="AF5">
    <cfRule type="expression" dxfId="102" priority="90">
      <formula>$AB12="No"</formula>
    </cfRule>
  </conditionalFormatting>
  <conditionalFormatting sqref="AF6">
    <cfRule type="expression" dxfId="101" priority="94">
      <formula>$AC12="No"</formula>
    </cfRule>
  </conditionalFormatting>
  <conditionalFormatting sqref="AF7">
    <cfRule type="expression" dxfId="100" priority="95">
      <formula>$AD12="No"</formula>
    </cfRule>
  </conditionalFormatting>
  <conditionalFormatting sqref="AJ36:AK46">
    <cfRule type="cellIs" dxfId="99" priority="3" operator="equal">
      <formula>1</formula>
    </cfRule>
  </conditionalFormatting>
  <conditionalFormatting sqref="AJ54:AK64">
    <cfRule type="cellIs" dxfId="98" priority="2" operator="equal">
      <formula>1</formula>
    </cfRule>
  </conditionalFormatting>
  <conditionalFormatting sqref="AK47">
    <cfRule type="cellIs" dxfId="97" priority="48" operator="equal">
      <formula>1</formula>
    </cfRule>
  </conditionalFormatting>
  <conditionalFormatting sqref="AL15:AL25">
    <cfRule type="cellIs" dxfId="96" priority="36" operator="equal">
      <formula>0</formula>
    </cfRule>
  </conditionalFormatting>
  <conditionalFormatting sqref="AL36:AL46">
    <cfRule type="cellIs" dxfId="95" priority="20" operator="equal">
      <formula>0</formula>
    </cfRule>
  </conditionalFormatting>
  <conditionalFormatting sqref="AL54:AL64">
    <cfRule type="cellIs" dxfId="94" priority="19" operator="equal">
      <formula>0</formula>
    </cfRule>
  </conditionalFormatting>
  <conditionalFormatting sqref="AQ15:AQ24">
    <cfRule type="expression" dxfId="93" priority="56">
      <formula>"&gt;$W$21"</formula>
    </cfRule>
  </conditionalFormatting>
  <conditionalFormatting sqref="AQ36:AQ45">
    <cfRule type="expression" dxfId="92" priority="5">
      <formula>"&gt;$W$21"</formula>
    </cfRule>
  </conditionalFormatting>
  <conditionalFormatting sqref="AQ54:AQ63">
    <cfRule type="expression" dxfId="91" priority="6">
      <formula>"&gt;$W$21"</formula>
    </cfRule>
  </conditionalFormatting>
  <conditionalFormatting sqref="AT15:AT24">
    <cfRule type="cellIs" dxfId="90" priority="9" operator="lessThan">
      <formula>-0.05</formula>
    </cfRule>
  </conditionalFormatting>
  <conditionalFormatting sqref="AT36:AT45">
    <cfRule type="cellIs" dxfId="89" priority="10" operator="lessThan">
      <formula>-0.05</formula>
    </cfRule>
  </conditionalFormatting>
  <dataValidations count="2">
    <dataValidation type="list" allowBlank="1" showInputMessage="1" showErrorMessage="1" sqref="W6" xr:uid="{CF259A10-A80D-4A9E-B00D-95C01F2050E6}">
      <formula1>$W$25:$W$29</formula1>
    </dataValidation>
    <dataValidation type="list" allowBlank="1" showInputMessage="1" showErrorMessage="1" sqref="X12:AD12" xr:uid="{DBE5F666-BE62-43A5-BE12-E9E2499E969A}">
      <formula1>$A$74:$A$75</formula1>
    </dataValidation>
  </dataValidations>
  <pageMargins left="0.2" right="0.2" top="0.75" bottom="0.75" header="0.3" footer="0.3"/>
  <pageSetup scale="67" orientation="landscape" r:id="rId1"/>
  <ignoredErrors>
    <ignoredError sqref="Q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A6AC-04DF-4FD3-8272-2EB5824927B8}">
  <sheetPr>
    <tabColor rgb="FF7030A0"/>
    <pageSetUpPr fitToPage="1"/>
  </sheetPr>
  <dimension ref="A1:AT69"/>
  <sheetViews>
    <sheetView zoomScale="85" zoomScaleNormal="85" workbookViewId="0">
      <pane xSplit="22" topLeftCell="W1" activePane="topRight" state="frozen"/>
      <selection pane="topRight" activeCell="X26" sqref="X26:AD26"/>
    </sheetView>
  </sheetViews>
  <sheetFormatPr defaultRowHeight="12.75"/>
  <cols>
    <col min="1" max="1" width="53.85546875" customWidth="1"/>
    <col min="2" max="2" width="14.7109375" hidden="1" customWidth="1"/>
    <col min="3" max="3" width="13.42578125" hidden="1" customWidth="1"/>
    <col min="4" max="4" width="12.7109375" hidden="1" customWidth="1"/>
    <col min="5" max="6" width="12.5703125" hidden="1" customWidth="1"/>
    <col min="7" max="7" width="12.85546875" hidden="1" customWidth="1"/>
    <col min="8" max="8" width="13.42578125" hidden="1" customWidth="1"/>
    <col min="9" max="9" width="14.7109375" hidden="1" customWidth="1"/>
    <col min="10" max="10" width="18.42578125" hidden="1" customWidth="1"/>
    <col min="11" max="11" width="14.28515625" hidden="1" customWidth="1"/>
    <col min="12" max="12" width="16" hidden="1" customWidth="1"/>
    <col min="13" max="13" width="14.7109375" hidden="1" customWidth="1"/>
    <col min="14" max="14" width="16" hidden="1" customWidth="1"/>
    <col min="15" max="15" width="14.28515625" hidden="1" customWidth="1"/>
    <col min="16" max="16" width="16.5703125" hidden="1" customWidth="1"/>
    <col min="17" max="17" width="18.140625" hidden="1" customWidth="1"/>
    <col min="18" max="18" width="16.42578125" hidden="1" customWidth="1"/>
    <col min="19" max="19" width="15.140625" hidden="1" customWidth="1"/>
    <col min="20" max="20" width="12.85546875" hidden="1" customWidth="1"/>
    <col min="21" max="21" width="15.140625" hidden="1" customWidth="1"/>
    <col min="22" max="22" width="16" hidden="1" customWidth="1"/>
    <col min="23" max="23" width="17.140625" bestFit="1" customWidth="1"/>
    <col min="24" max="25" width="10.7109375" customWidth="1"/>
    <col min="26" max="26" width="11.85546875" customWidth="1"/>
    <col min="27" max="30" width="10.7109375" customWidth="1"/>
    <col min="31" max="37" width="9.7109375" customWidth="1"/>
    <col min="38" max="38" width="11.140625" customWidth="1"/>
    <col min="39" max="39" width="8.7109375" hidden="1" customWidth="1"/>
    <col min="40" max="40" width="13.7109375" customWidth="1"/>
    <col min="41" max="41" width="14.7109375" customWidth="1"/>
    <col min="42" max="42" width="16.42578125" customWidth="1"/>
    <col min="43" max="43" width="13.28515625" customWidth="1"/>
    <col min="44" max="45" width="12.7109375" customWidth="1"/>
    <col min="46" max="46" width="0" hidden="1" customWidth="1"/>
  </cols>
  <sheetData>
    <row r="1" spans="1:46" ht="17.25">
      <c r="A1" s="301" t="s">
        <v>0</v>
      </c>
      <c r="B1" s="301"/>
      <c r="C1" s="301"/>
      <c r="D1" s="301"/>
      <c r="E1" s="301"/>
      <c r="F1" s="301"/>
      <c r="G1" s="301"/>
      <c r="H1" s="336"/>
      <c r="I1" s="301"/>
      <c r="J1" s="303"/>
      <c r="K1" s="303"/>
      <c r="L1" s="303"/>
      <c r="M1" s="1164" t="s">
        <v>62</v>
      </c>
      <c r="N1" s="1164"/>
      <c r="O1" s="1164"/>
      <c r="P1" s="1164"/>
      <c r="Q1" s="303"/>
      <c r="W1" s="302"/>
      <c r="X1" s="302"/>
      <c r="Y1" s="302"/>
      <c r="Z1" s="302"/>
      <c r="AA1" s="302"/>
      <c r="AB1" s="302"/>
      <c r="AC1" s="302"/>
      <c r="AD1" s="302"/>
      <c r="AE1" s="302"/>
      <c r="AF1" s="983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</row>
    <row r="2" spans="1:46" ht="20.25">
      <c r="A2" s="337" t="s">
        <v>63</v>
      </c>
      <c r="B2" s="301"/>
      <c r="C2" s="301"/>
      <c r="D2" s="301"/>
      <c r="E2" s="301"/>
      <c r="F2" s="301"/>
      <c r="G2" s="301"/>
      <c r="H2" s="336"/>
      <c r="I2" s="301"/>
      <c r="J2" s="303"/>
      <c r="K2" s="303"/>
      <c r="L2" s="303"/>
      <c r="M2" s="303"/>
      <c r="N2" s="303"/>
      <c r="O2" s="303"/>
      <c r="P2" s="303"/>
      <c r="Q2" s="302"/>
      <c r="W2" s="302"/>
      <c r="X2" s="302"/>
      <c r="Y2" s="302"/>
      <c r="Z2" s="302"/>
      <c r="AA2" s="302"/>
      <c r="AB2" s="302"/>
      <c r="AC2" s="302"/>
      <c r="AD2" s="302"/>
      <c r="AE2" s="302"/>
      <c r="AF2" s="983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</row>
    <row r="3" spans="1:46" ht="17.25">
      <c r="A3" s="338" t="s">
        <v>169</v>
      </c>
      <c r="B3" s="301"/>
      <c r="C3" s="301"/>
      <c r="D3" s="301"/>
      <c r="E3" s="301"/>
      <c r="F3" s="301"/>
      <c r="G3" s="301"/>
      <c r="H3" s="336"/>
      <c r="I3" s="301"/>
      <c r="J3" s="303"/>
      <c r="K3" s="303"/>
      <c r="L3" s="303"/>
      <c r="M3" s="303"/>
      <c r="N3" s="303"/>
      <c r="O3" s="302"/>
      <c r="P3" s="302"/>
      <c r="Q3" s="302"/>
      <c r="W3" s="302"/>
      <c r="X3" s="302"/>
      <c r="Y3" s="461" t="s">
        <v>170</v>
      </c>
      <c r="Z3" s="302"/>
      <c r="AA3" s="302"/>
      <c r="AB3" s="302"/>
      <c r="AC3" s="302"/>
      <c r="AD3" s="302"/>
      <c r="AE3" s="302"/>
      <c r="AF3" s="983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</row>
    <row r="4" spans="1:46" ht="17.25">
      <c r="A4" s="339">
        <f ca="1">TODAY()</f>
        <v>46199</v>
      </c>
      <c r="B4" s="301"/>
      <c r="C4" s="301"/>
      <c r="D4" s="301"/>
      <c r="E4" s="301"/>
      <c r="F4" s="301"/>
      <c r="G4" s="301"/>
      <c r="H4" s="336"/>
      <c r="I4" s="301"/>
      <c r="J4" s="303"/>
      <c r="K4" s="303"/>
      <c r="L4" s="303"/>
      <c r="M4" s="303"/>
      <c r="N4" s="303"/>
      <c r="O4" s="302"/>
      <c r="P4" s="302"/>
      <c r="Q4" s="302"/>
      <c r="W4" s="302"/>
      <c r="X4" s="302"/>
      <c r="Y4" s="302"/>
      <c r="Z4" s="302"/>
      <c r="AA4" s="302"/>
      <c r="AB4" s="302"/>
      <c r="AC4" s="302"/>
      <c r="AD4" s="302"/>
      <c r="AE4" s="302"/>
      <c r="AF4" s="983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</row>
    <row r="5" spans="1:46" ht="17.25">
      <c r="B5" s="301"/>
      <c r="C5" s="301"/>
      <c r="D5" s="301"/>
      <c r="E5" s="301"/>
      <c r="F5" s="301"/>
      <c r="G5" s="301"/>
      <c r="H5" s="336"/>
      <c r="I5" s="301"/>
      <c r="J5" s="303"/>
      <c r="K5" s="303"/>
      <c r="L5" s="303"/>
      <c r="M5" s="303"/>
      <c r="N5" s="303"/>
      <c r="O5" s="302"/>
      <c r="P5" s="302"/>
      <c r="Q5" s="302"/>
      <c r="Y5" s="302"/>
      <c r="Z5" s="302"/>
      <c r="AA5" s="302"/>
      <c r="AB5" s="302"/>
      <c r="AC5" s="302"/>
      <c r="AD5" s="302"/>
      <c r="AE5" s="302"/>
      <c r="AF5" s="983"/>
      <c r="AG5" s="302"/>
      <c r="AH5" s="302"/>
      <c r="AI5" s="302"/>
      <c r="AJ5" s="302"/>
      <c r="AK5" s="302"/>
      <c r="AL5" s="1075">
        <v>6</v>
      </c>
      <c r="AN5" s="984" t="s">
        <v>67</v>
      </c>
      <c r="AO5" s="984"/>
      <c r="AP5" s="302"/>
      <c r="AQ5" s="302"/>
      <c r="AR5" s="302"/>
      <c r="AS5" s="302"/>
    </row>
    <row r="6" spans="1:46" ht="18" thickBot="1">
      <c r="A6" s="340"/>
      <c r="B6" s="301"/>
      <c r="C6" s="301"/>
      <c r="D6" s="301"/>
      <c r="E6" s="301"/>
      <c r="F6" s="301"/>
      <c r="G6" s="301"/>
      <c r="H6" s="336"/>
      <c r="I6" s="301"/>
      <c r="J6" s="303"/>
      <c r="K6" s="303"/>
      <c r="L6" s="303"/>
      <c r="M6" s="1163" t="s">
        <v>69</v>
      </c>
      <c r="N6" s="1163"/>
      <c r="O6" s="1163"/>
      <c r="P6" s="1163"/>
      <c r="Q6" s="302"/>
      <c r="W6" s="1089" t="s">
        <v>65</v>
      </c>
      <c r="X6" s="984" t="s">
        <v>66</v>
      </c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N6" s="302"/>
      <c r="AO6" s="302"/>
      <c r="AP6" s="302"/>
      <c r="AQ6" s="302"/>
      <c r="AR6" s="302"/>
      <c r="AS6" s="302"/>
    </row>
    <row r="7" spans="1:46" ht="17.25" thickBot="1">
      <c r="A7" s="301"/>
      <c r="B7" s="341"/>
      <c r="C7" s="302"/>
      <c r="D7" s="302"/>
      <c r="E7" s="302"/>
      <c r="F7" s="302"/>
      <c r="G7" s="302"/>
      <c r="I7" s="1170" t="s">
        <v>70</v>
      </c>
      <c r="J7" s="1171"/>
      <c r="K7" s="1171"/>
      <c r="L7" s="1171"/>
      <c r="M7" s="1168" t="s">
        <v>71</v>
      </c>
      <c r="N7" s="1168"/>
      <c r="O7" s="1168"/>
      <c r="P7" s="1169"/>
      <c r="Q7" s="309"/>
      <c r="W7" s="1074">
        <v>0.6</v>
      </c>
      <c r="X7" s="985" t="s">
        <v>68</v>
      </c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N7" s="302"/>
      <c r="AO7" s="302"/>
      <c r="AP7" s="302"/>
      <c r="AQ7" s="302"/>
      <c r="AR7" s="302"/>
      <c r="AS7" s="302"/>
    </row>
    <row r="8" spans="1:46" ht="15" thickBot="1">
      <c r="A8" s="301"/>
      <c r="B8" s="342"/>
      <c r="C8" s="302"/>
      <c r="D8" s="302"/>
      <c r="E8" s="302"/>
      <c r="F8" s="302"/>
      <c r="G8" s="302"/>
      <c r="I8" s="343" t="s">
        <v>72</v>
      </c>
      <c r="J8" s="315" t="s">
        <v>73</v>
      </c>
      <c r="K8" s="315" t="s">
        <v>74</v>
      </c>
      <c r="L8" s="315" t="s">
        <v>75</v>
      </c>
      <c r="M8" s="315" t="s">
        <v>72</v>
      </c>
      <c r="N8" s="315" t="s">
        <v>73</v>
      </c>
      <c r="O8" s="315" t="s">
        <v>74</v>
      </c>
      <c r="P8" s="316" t="s">
        <v>75</v>
      </c>
      <c r="Q8" s="319" t="s">
        <v>76</v>
      </c>
      <c r="R8" s="265"/>
      <c r="W8" s="1088"/>
      <c r="X8" s="302"/>
      <c r="AE8" s="302"/>
      <c r="AF8" s="302"/>
      <c r="AG8" s="302"/>
      <c r="AH8" s="302"/>
      <c r="AI8" s="302"/>
      <c r="AJ8" s="302"/>
      <c r="AK8" s="302"/>
      <c r="AL8" s="302"/>
      <c r="AN8" s="302"/>
      <c r="AO8" s="302"/>
      <c r="AP8" s="302"/>
      <c r="AQ8" s="302"/>
      <c r="AR8" s="302"/>
      <c r="AS8" s="302"/>
    </row>
    <row r="9" spans="1:46" ht="15" thickBot="1">
      <c r="A9" s="301"/>
      <c r="B9" s="301"/>
      <c r="C9" s="302"/>
      <c r="D9" s="302"/>
      <c r="E9" s="302"/>
      <c r="F9" s="302"/>
      <c r="G9" s="302"/>
      <c r="I9" s="344">
        <v>0.5</v>
      </c>
      <c r="J9" s="345">
        <v>0.3</v>
      </c>
      <c r="K9" s="345">
        <v>0.1</v>
      </c>
      <c r="L9" s="345">
        <v>0.1</v>
      </c>
      <c r="M9" s="317">
        <v>0.5</v>
      </c>
      <c r="N9" s="317">
        <v>0.2</v>
      </c>
      <c r="O9" s="317">
        <v>0.15</v>
      </c>
      <c r="P9" s="318">
        <v>0.15</v>
      </c>
      <c r="Q9" s="310">
        <f>SUM(M9:P9)</f>
        <v>1</v>
      </c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02"/>
      <c r="AK9" s="302"/>
      <c r="AL9" s="302"/>
      <c r="AN9" s="302"/>
      <c r="AO9" s="302"/>
      <c r="AP9" s="302"/>
      <c r="AQ9" s="302"/>
      <c r="AR9" s="302"/>
      <c r="AS9" s="302"/>
    </row>
    <row r="10" spans="1:46" ht="27" thickBot="1">
      <c r="A10" s="301"/>
      <c r="B10" s="301"/>
      <c r="C10" s="302"/>
      <c r="D10" s="302"/>
      <c r="E10" s="302"/>
      <c r="F10" s="302"/>
      <c r="G10" s="302"/>
      <c r="I10" s="304"/>
      <c r="J10" s="304"/>
      <c r="K10" s="304"/>
      <c r="L10" s="304"/>
      <c r="M10" s="304"/>
      <c r="N10" s="304"/>
      <c r="O10" s="305"/>
      <c r="P10" s="302"/>
      <c r="Q10" s="328" t="s">
        <v>77</v>
      </c>
      <c r="W10" s="302"/>
      <c r="X10" s="1073" t="s">
        <v>78</v>
      </c>
      <c r="Y10" s="1073" t="s">
        <v>78</v>
      </c>
      <c r="Z10" s="1073" t="s">
        <v>79</v>
      </c>
      <c r="AA10" s="1073" t="s">
        <v>79</v>
      </c>
      <c r="AB10" s="1073" t="s">
        <v>79</v>
      </c>
      <c r="AC10" s="1073" t="s">
        <v>78</v>
      </c>
      <c r="AD10" s="1073" t="s">
        <v>79</v>
      </c>
      <c r="AE10" s="302"/>
      <c r="AF10" s="302"/>
      <c r="AG10" s="302"/>
      <c r="AH10" s="302"/>
      <c r="AI10" s="302"/>
      <c r="AJ10" s="302"/>
      <c r="AK10" s="302"/>
      <c r="AL10" s="1006" t="s">
        <v>80</v>
      </c>
      <c r="AM10" s="1151"/>
      <c r="AN10" s="1152">
        <f>Assumptions!D10+P22</f>
        <v>851454.41800408857</v>
      </c>
      <c r="AO10" s="989"/>
      <c r="AP10" s="302"/>
      <c r="AQ10" s="302"/>
      <c r="AR10" s="302"/>
      <c r="AS10" s="302"/>
    </row>
    <row r="11" spans="1:46" ht="15" thickBot="1">
      <c r="A11" s="336"/>
      <c r="B11" s="1158" t="s">
        <v>81</v>
      </c>
      <c r="C11" s="1159"/>
      <c r="D11" s="1159"/>
      <c r="E11" s="1159"/>
      <c r="F11" s="1159"/>
      <c r="G11" s="1160"/>
      <c r="H11" s="1160"/>
      <c r="I11" s="1161" t="s">
        <v>70</v>
      </c>
      <c r="J11" s="1161"/>
      <c r="K11" s="1161"/>
      <c r="L11" s="1161"/>
      <c r="M11" s="1162" t="s">
        <v>71</v>
      </c>
      <c r="N11" s="1162"/>
      <c r="O11" s="1162"/>
      <c r="P11" s="1162"/>
      <c r="Q11" s="302"/>
      <c r="W11" s="302"/>
      <c r="X11" s="1090"/>
      <c r="Y11" s="1090"/>
      <c r="Z11" s="1090"/>
      <c r="AA11" s="1090"/>
      <c r="AB11" s="1090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N11" s="302"/>
      <c r="AO11" s="302"/>
      <c r="AP11" s="302"/>
      <c r="AQ11" s="302"/>
      <c r="AR11" s="302"/>
      <c r="AS11" s="302"/>
    </row>
    <row r="12" spans="1:46" ht="72" thickBot="1">
      <c r="A12" s="471" t="s">
        <v>82</v>
      </c>
      <c r="B12" s="346" t="s">
        <v>83</v>
      </c>
      <c r="C12" s="347" t="s">
        <v>84</v>
      </c>
      <c r="D12" s="347" t="s">
        <v>85</v>
      </c>
      <c r="E12" s="347" t="s">
        <v>86</v>
      </c>
      <c r="F12" s="347" t="s">
        <v>87</v>
      </c>
      <c r="G12" s="347" t="s">
        <v>88</v>
      </c>
      <c r="H12" s="347" t="s">
        <v>89</v>
      </c>
      <c r="I12" s="348" t="s">
        <v>90</v>
      </c>
      <c r="J12" s="349" t="s">
        <v>91</v>
      </c>
      <c r="K12" s="349"/>
      <c r="L12" s="350" t="s">
        <v>3</v>
      </c>
      <c r="M12" s="311" t="s">
        <v>92</v>
      </c>
      <c r="N12" s="327" t="s">
        <v>93</v>
      </c>
      <c r="O12" s="327"/>
      <c r="P12" s="312" t="s">
        <v>3</v>
      </c>
      <c r="Q12" s="302"/>
      <c r="R12" s="465" t="s">
        <v>94</v>
      </c>
      <c r="S12" s="465" t="s">
        <v>95</v>
      </c>
      <c r="T12" s="465" t="s">
        <v>96</v>
      </c>
      <c r="U12" s="465" t="s">
        <v>97</v>
      </c>
      <c r="V12" s="465" t="s">
        <v>171</v>
      </c>
      <c r="W12" s="302"/>
      <c r="X12" s="1091" t="s">
        <v>99</v>
      </c>
      <c r="Y12" s="1091" t="s">
        <v>100</v>
      </c>
      <c r="Z12" s="1091" t="s">
        <v>101</v>
      </c>
      <c r="AA12" s="1091" t="s">
        <v>102</v>
      </c>
      <c r="AB12" s="1091" t="s">
        <v>103</v>
      </c>
      <c r="AC12" s="990" t="s">
        <v>104</v>
      </c>
      <c r="AD12" s="990" t="s">
        <v>105</v>
      </c>
      <c r="AE12" s="1003" t="s">
        <v>106</v>
      </c>
      <c r="AF12" s="1003" t="s">
        <v>107</v>
      </c>
      <c r="AG12" s="1003" t="s">
        <v>108</v>
      </c>
      <c r="AH12" s="1003" t="s">
        <v>109</v>
      </c>
      <c r="AI12" s="1003" t="s">
        <v>110</v>
      </c>
      <c r="AJ12" s="1003" t="s">
        <v>111</v>
      </c>
      <c r="AK12" s="1004" t="s">
        <v>112</v>
      </c>
      <c r="AL12" s="1005" t="s">
        <v>113</v>
      </c>
      <c r="AM12" s="1079"/>
      <c r="AN12" s="1006" t="s">
        <v>114</v>
      </c>
      <c r="AO12" s="1006" t="s">
        <v>172</v>
      </c>
      <c r="AP12" s="940" t="s">
        <v>116</v>
      </c>
      <c r="AQ12" s="1031" t="s">
        <v>117</v>
      </c>
      <c r="AR12" s="1032" t="s">
        <v>118</v>
      </c>
      <c r="AS12" s="1033" t="s">
        <v>119</v>
      </c>
      <c r="AT12" s="962" t="s">
        <v>120</v>
      </c>
    </row>
    <row r="13" spans="1:46" ht="14.25">
      <c r="A13" s="483" t="s">
        <v>32</v>
      </c>
      <c r="B13" s="351">
        <f>VLOOKUP($A13, 'Allocation Calculations_FY27'!$B$12:$G$50, 3, FALSE)</f>
        <v>2625519</v>
      </c>
      <c r="C13" s="352">
        <f>VLOOKUP($A13, OpCost[], 10, FALSE)</f>
        <v>2309813.6666666665</v>
      </c>
      <c r="D13" s="353">
        <f>VLOOKUP($A13, Ridership[],10, FALSE)</f>
        <v>156134</v>
      </c>
      <c r="E13" s="353">
        <f>VLOOKUP($A13, VRHsizing[], 10, FALSE)</f>
        <v>24486.333333333332</v>
      </c>
      <c r="F13" s="353">
        <f>VLOOKUP($A13,VRMsizing[[Agency]:[3-Year Average FY25]],10, FALSE)</f>
        <v>315455.33333333331</v>
      </c>
      <c r="G13" s="354">
        <f t="shared" ref="G13:G21" si="0">IFERROR($I$9*(C13/C$22),0) + IFERROR($J$9*(D13/D$22),0) + IFERROR($K$9*(E13/E$22),0) + IFERROR($L$9*(F13/F$22),0)</f>
        <v>3.123792089047496E-2</v>
      </c>
      <c r="H13" s="354">
        <f t="shared" ref="H13:H21" si="1">IFERROR($M$9*(C13/C$22),0) + IFERROR($N$9*(D13/D$22),0) + IFERROR($O$9*(E13/E$22),0) + IFERROR($P$9*(F13/F$22),0)</f>
        <v>3.4047960805748574E-2</v>
      </c>
      <c r="I13" s="355">
        <f>G13/SUM($G$13:$G$21)</f>
        <v>3.123792089047496E-2</v>
      </c>
      <c r="J13" s="356">
        <f>MIN(0.3*SmallUrban!B13,SmallUrban!I13*Assumptions!$D$11)</f>
        <v>494284.53932528384</v>
      </c>
      <c r="K13" s="356"/>
      <c r="L13" s="357">
        <f>I13*Assumptions!$D$11-SmallUrban!J13</f>
        <v>0</v>
      </c>
      <c r="M13" s="320">
        <f t="shared" ref="M13:M21" si="2">H13/SUM($H$13:$H$21)</f>
        <v>3.4047960805748574E-2</v>
      </c>
      <c r="N13" s="325">
        <f>MIN(0.3*B13,M13*Assumptions!$D$11)</f>
        <v>538748.42313741671</v>
      </c>
      <c r="O13" s="325"/>
      <c r="P13" s="321">
        <f>M13*Assumptions!$D$11-N13</f>
        <v>0</v>
      </c>
      <c r="Q13" s="302"/>
      <c r="R13" s="457">
        <f>VLOOKUP($A13,OpCost[[Agency]:[FY25 Operating Cost Performance]], 6, FALSE)</f>
        <v>2625519</v>
      </c>
      <c r="S13" s="466">
        <f>VLOOKUP($A13,Ridership[[Agency]:[FY25 Ridership]], 6, FALSE)</f>
        <v>106471</v>
      </c>
      <c r="T13" s="466">
        <f>VLOOKUP($A13,VRH[[Agency]:[FY25 Revenue Hours]], 5, FALSE)</f>
        <v>27972</v>
      </c>
      <c r="U13" s="466">
        <f>VLOOKUP($A13,VRM[[Agency]:[FY25 Revenue Miles]], 5, FALSE)</f>
        <v>331246</v>
      </c>
      <c r="V13" s="466">
        <f>VLOOKUP(A13,PMT!$A$2:$D$22, 4, FALSE)</f>
        <v>0</v>
      </c>
      <c r="W13" s="302"/>
      <c r="X13" s="991">
        <f t="shared" ref="X13:X22" si="3">S13/T13</f>
        <v>3.8063420563420562</v>
      </c>
      <c r="Y13" s="991">
        <f t="shared" ref="Y13:Y22" si="4">S13/U13</f>
        <v>0.32142576816021928</v>
      </c>
      <c r="Z13" s="992">
        <f t="shared" ref="Z13:Z22" si="5">R13/T13</f>
        <v>93.862398112398111</v>
      </c>
      <c r="AA13" s="992">
        <f t="shared" ref="AA13:AA22" si="6">R13/U13</f>
        <v>7.9261908068323841</v>
      </c>
      <c r="AB13" s="992">
        <f t="shared" ref="AB13:AB22" si="7">R13/S13</f>
        <v>24.659475350095331</v>
      </c>
      <c r="AC13" s="993">
        <v>0</v>
      </c>
      <c r="AD13" s="993" t="str">
        <f>IF(V13=0, "",V13/T13)</f>
        <v/>
      </c>
      <c r="AE13" s="1007">
        <f t="shared" ref="AE13:AE21" si="8">IF(X$10="Yes",(IF($W$6="Weighted Average",IF(X13&gt;=X$22,1,0),IF($W$6="MEDIAN",IF(X13&gt;=X$23,1,0),IF($W$6="MEAN",IF(X13&gt;=X$24,1,0),IF($W$6="PERCENTILE",IF(X13&gt;=X$25,1,0),IF(X13&gt;=X$26,1,0)) )))), 0)</f>
        <v>0</v>
      </c>
      <c r="AF13" s="1007">
        <f t="shared" ref="AF13:AF21" si="9">IF(Y$10="Yes",(IF($W$6="Weighted Average",IF(Y13&gt;=Y$22,1,0),IF($W$6="MEDIAN",IF(Y13&gt;=Y$23,1,0),IF($W$6="MEAN",IF(Y13&gt;=Y$24,1,0),IF($W$6="PERCENTILE",IF(Y13&gt;=Y$25,1,0),IF(Y13&gt;=Y$26,1,0)) )))), 0)</f>
        <v>0</v>
      </c>
      <c r="AG13" s="1007">
        <f t="shared" ref="AG13:AG21" si="10">IF(Z$10="Yes",(IF($W$6="Weighted Average",IF(Z13&lt;=Z$22,1,0),IF($W$6="MEDIAN",IF(Z13&lt;=Z$23,1,0),IF($W$6="MEAN",IF(Z13&lt;=Z$24,1,0),IF($W$6="PERCENTILE",IF(Z13&lt;=Z$25,1,0),IF(Z13&lt;=Z$26,1,0)) )))), 0)</f>
        <v>0</v>
      </c>
      <c r="AH13" s="1007">
        <f t="shared" ref="AH13:AH21" si="11">IF(AA$10="Yes",(IF($W$6="Weighted Average",IF(AA13&lt;=AA$22,1,0),IF($W$6="MEDIAN",IF(AA13&lt;=AA$23,1,0),IF($W$6="MEAN",IF(AA13&lt;=AA$24,1,0),IF($W$6="PERCENTILE",IF(AA13&lt;=AA$25,1,0),IF(AA13&lt;=AA$26,1,0)) )))), 0)</f>
        <v>0</v>
      </c>
      <c r="AI13" s="1007">
        <f t="shared" ref="AI13:AI21" si="12">IF(AB$10="Yes",(IF($W$6="Weighted Average",IF(AB13&lt;=AB$22,1,0),IF($W$6="MEDIAN",IF(AB13&lt;=AB$23,1,0),IF($W$6="MEAN",IF(AB13&lt;=AB$24,1,0),IF($W$6="PERCENTILE",IF(AB13&lt;=AB$25,1,0),IF(AB13&lt;=AB$26,1,0)) )))), 0)</f>
        <v>0</v>
      </c>
      <c r="AJ13" s="1007">
        <f t="shared" ref="AJ13:AJ21" si="13">IF(AC$10="Yes",(IF($W$6="Weighted Average",IF(AC13&gt;=AC$22,1,0),IF($W$6="MEDIAN",IF(AC13&gt;=AC$23,1,0),IF($W$6="MEAN",IF(AC13&gt;=AC$24,1,0),IF($W$6="PERCENTILE",IF(AC13&gt;=AC$25,1,0),IF(AC13&gt;=AC$26,1,0)) ))))*IF(AC13="",0,1), 0)</f>
        <v>0</v>
      </c>
      <c r="AK13" s="1007">
        <f t="shared" ref="AK13:AK21" si="14">IF(AD$10="Yes",(IF($W$6="Weighted Average",IF(AD13&gt;=AD$22,1,0),IF($W$6="MEDIAN",IF(AD13&gt;=AD$23,1,0),IF($W$6="MEAN",IF(AD13&gt;=AD$24,1,0),IF($W$6="PERCENTILE",IF(AD13&gt;=AD$25,1,0),IF(AD13&gt;=AD$26,1,0)) ))))*IF(AD13="",0,1), 0)</f>
        <v>0</v>
      </c>
      <c r="AL13" s="1008">
        <f>MIN(SUM(AE13:AK13),$AL$5)</f>
        <v>0</v>
      </c>
      <c r="AM13" s="1092">
        <f t="shared" ref="AM13:AM21" si="15">M13*AL13</f>
        <v>0</v>
      </c>
      <c r="AN13" s="1011">
        <f>AM13/$AM$22</f>
        <v>0</v>
      </c>
      <c r="AO13" s="1012">
        <f>AN13*$AN$10</f>
        <v>0</v>
      </c>
      <c r="AP13" s="1137">
        <f>AO13+N13</f>
        <v>538748.42313741671</v>
      </c>
      <c r="AQ13" s="1020">
        <f>VLOOKUP(A13,'Allocation Calculations_FY27'!$B$12:$CH$50, 85, FALSE)</f>
        <v>442219.91371971794</v>
      </c>
      <c r="AR13" s="1021">
        <f>AP13-AQ13</f>
        <v>96528.509417698777</v>
      </c>
      <c r="AS13" s="1022">
        <f>AR13/AQ13</f>
        <v>0.21828168841550455</v>
      </c>
      <c r="AT13" s="913">
        <f>(AP13-AP30)/AP30</f>
        <v>0.16865531515852353</v>
      </c>
    </row>
    <row r="14" spans="1:46" ht="14.25">
      <c r="A14" s="483" t="s">
        <v>37</v>
      </c>
      <c r="B14" s="358">
        <f>VLOOKUP($A14, 'Allocation Calculations_FY27'!$B$12:$G$50, 3, FALSE)</f>
        <v>5394452</v>
      </c>
      <c r="C14" s="352">
        <f>VLOOKUP($A14, OpCost[], 10, FALSE)</f>
        <v>5076554.333333333</v>
      </c>
      <c r="D14" s="353">
        <f>VLOOKUP($A14, Ridership[],10, FALSE)</f>
        <v>314832</v>
      </c>
      <c r="E14" s="353">
        <f>VLOOKUP($A14, VRHsizing[], 10, FALSE)</f>
        <v>37864.666666666664</v>
      </c>
      <c r="F14" s="353">
        <f>VLOOKUP($A14,VRMsizing[[Agency]:[3-Year Average FY25]],10, FALSE)</f>
        <v>545462.33333333337</v>
      </c>
      <c r="G14" s="354">
        <f t="shared" si="0"/>
        <v>6.2945130980239364E-2</v>
      </c>
      <c r="H14" s="359">
        <f t="shared" si="1"/>
        <v>6.6965656454917893E-2</v>
      </c>
      <c r="I14" s="355">
        <f t="shared" ref="I14:I21" si="16">G14/SUM($G$13:$G$21)</f>
        <v>6.2945130980239364E-2</v>
      </c>
      <c r="J14" s="356">
        <f>MIN(0.3*SmallUrban!B14,SmallUrban!I14*Assumptions!$D$11)</f>
        <v>995994.74556657055</v>
      </c>
      <c r="K14" s="356"/>
      <c r="L14" s="357">
        <f>I14*Assumptions!$D$11-SmallUrban!J14</f>
        <v>0</v>
      </c>
      <c r="M14" s="322">
        <f t="shared" si="2"/>
        <v>6.6965656454917893E-2</v>
      </c>
      <c r="N14" s="325">
        <f>MIN(0.3*B14,M14*Assumptions!$D$11)</f>
        <v>1059612.4104254057</v>
      </c>
      <c r="O14" s="325"/>
      <c r="P14" s="323">
        <f>M14*Assumptions!$D$11-N14</f>
        <v>0</v>
      </c>
      <c r="Q14" s="302"/>
      <c r="R14" s="457">
        <f>VLOOKUP($A14,OpCost[[Agency]:[FY25 Operating Cost Performance]], 6, FALSE)</f>
        <v>5394452</v>
      </c>
      <c r="S14" s="466">
        <f>VLOOKUP($A14,Ridership[[Agency]:[FY25 Ridership]], 6, FALSE)</f>
        <v>323706</v>
      </c>
      <c r="T14" s="466">
        <f>VLOOKUP($A14,VRH[[Agency]:[FY25 Revenue Hours]], 5, FALSE)</f>
        <v>38381</v>
      </c>
      <c r="U14" s="466">
        <f>VLOOKUP($A14,VRM[[Agency]:[FY25 Revenue Miles]], 5, FALSE)</f>
        <v>554895</v>
      </c>
      <c r="V14" s="466">
        <f>VLOOKUP(A14,PMT!$A$2:$D$22, 4, FALSE)</f>
        <v>0</v>
      </c>
      <c r="W14" s="461" t="s">
        <v>170</v>
      </c>
      <c r="X14" s="991">
        <f t="shared" si="3"/>
        <v>8.4340168312446266</v>
      </c>
      <c r="Y14" s="991">
        <f t="shared" si="4"/>
        <v>0.58336442029573166</v>
      </c>
      <c r="Z14" s="992">
        <f t="shared" si="5"/>
        <v>140.55006383366771</v>
      </c>
      <c r="AA14" s="992">
        <f t="shared" si="6"/>
        <v>9.7215725497616674</v>
      </c>
      <c r="AB14" s="992">
        <f t="shared" si="7"/>
        <v>16.664664850203579</v>
      </c>
      <c r="AC14" s="993">
        <v>0</v>
      </c>
      <c r="AD14" s="993" t="str">
        <f t="shared" ref="AD14:AD21" si="17">IF(V14=0, "",V14/T14)</f>
        <v/>
      </c>
      <c r="AE14" s="1007">
        <f t="shared" si="8"/>
        <v>0</v>
      </c>
      <c r="AF14" s="1007">
        <f t="shared" si="9"/>
        <v>0</v>
      </c>
      <c r="AG14" s="1007">
        <f t="shared" si="10"/>
        <v>0</v>
      </c>
      <c r="AH14" s="1007">
        <f t="shared" si="11"/>
        <v>0</v>
      </c>
      <c r="AI14" s="1007">
        <f t="shared" si="12"/>
        <v>0</v>
      </c>
      <c r="AJ14" s="1007">
        <f t="shared" si="13"/>
        <v>0</v>
      </c>
      <c r="AK14" s="1007">
        <f t="shared" si="14"/>
        <v>0</v>
      </c>
      <c r="AL14" s="1008">
        <f t="shared" ref="AL14:AL21" si="18">MIN(SUM(AE14:AK14),$AL$5)</f>
        <v>0</v>
      </c>
      <c r="AM14" s="1092">
        <f t="shared" si="15"/>
        <v>0</v>
      </c>
      <c r="AN14" s="1011">
        <f t="shared" ref="AN14:AN21" si="19">AM14/$AM$22</f>
        <v>0</v>
      </c>
      <c r="AO14" s="1012">
        <f t="shared" ref="AO14:AO21" si="20">AN14*$AN$10</f>
        <v>0</v>
      </c>
      <c r="AP14" s="1137">
        <f t="shared" ref="AP14:AP21" si="21">AO14+N14</f>
        <v>1059612.4104254057</v>
      </c>
      <c r="AQ14" s="1020">
        <f>VLOOKUP(A14,'Allocation Calculations_FY27'!$B$12:$CH$50, 85, FALSE)</f>
        <v>1104015.686516911</v>
      </c>
      <c r="AR14" s="1021">
        <f t="shared" ref="AR14:AR21" si="22">AP14-AQ14</f>
        <v>-44403.276091505308</v>
      </c>
      <c r="AS14" s="1022">
        <f t="shared" ref="AS14:AS21" si="23">AR14/AQ14</f>
        <v>-4.0219787303561245E-2</v>
      </c>
      <c r="AT14" s="913">
        <f t="shared" ref="AT14:AT21" si="24">(AP14-AP31)/AP31</f>
        <v>5.573636059595706E-2</v>
      </c>
    </row>
    <row r="15" spans="1:46" ht="14.25">
      <c r="A15" s="483" t="s">
        <v>27</v>
      </c>
      <c r="B15" s="358">
        <f>VLOOKUP($A15, 'Allocation Calculations_FY27'!$B$12:$G$50, 3, FALSE)</f>
        <v>420188</v>
      </c>
      <c r="C15" s="352">
        <f>VLOOKUP($A15, OpCost[], 10, FALSE)</f>
        <v>393516.66666666669</v>
      </c>
      <c r="D15" s="353">
        <f>VLOOKUP($A15, Ridership[],10, FALSE)</f>
        <v>43256</v>
      </c>
      <c r="E15" s="353">
        <f>VLOOKUP($A15, VRHsizing[], 10, FALSE)</f>
        <v>7689.666666666667</v>
      </c>
      <c r="F15" s="353">
        <f>VLOOKUP($A15,VRMsizing[[Agency]:[3-Year Average FY25]],10, FALSE)</f>
        <v>92125.333333333328</v>
      </c>
      <c r="G15" s="354">
        <f t="shared" si="0"/>
        <v>6.9700371556686361E-3</v>
      </c>
      <c r="H15" s="359">
        <f t="shared" si="1"/>
        <v>7.8613779852304798E-3</v>
      </c>
      <c r="I15" s="355">
        <f t="shared" si="16"/>
        <v>6.9700371556686361E-3</v>
      </c>
      <c r="J15" s="356">
        <f>MIN(0.3*SmallUrban!B15,SmallUrban!I15*Assumptions!$D$11)</f>
        <v>110288.44130341227</v>
      </c>
      <c r="K15" s="356"/>
      <c r="L15" s="357">
        <f>I15*Assumptions!$D$11-SmallUrban!J15</f>
        <v>0</v>
      </c>
      <c r="M15" s="322">
        <f t="shared" si="2"/>
        <v>7.8613779852304798E-3</v>
      </c>
      <c r="N15" s="325">
        <f>MIN(0.3*B15,M15*Assumptions!$D$11)</f>
        <v>124392.3246209519</v>
      </c>
      <c r="O15" s="325"/>
      <c r="P15" s="323">
        <f>M15*Assumptions!$D$11-N15</f>
        <v>0</v>
      </c>
      <c r="Q15" s="302"/>
      <c r="R15" s="457">
        <f>VLOOKUP($A15,OpCost[[Agency]:[FY25 Operating Cost Performance]], 6, FALSE)</f>
        <v>420188</v>
      </c>
      <c r="S15" s="466">
        <f>VLOOKUP($A15,Ridership[[Agency]:[FY25 Ridership]], 6, FALSE)</f>
        <v>43130</v>
      </c>
      <c r="T15" s="466">
        <f>VLOOKUP($A15,VRH[[Agency]:[FY25 Revenue Hours]], 5, FALSE)</f>
        <v>7578</v>
      </c>
      <c r="U15" s="466">
        <f>VLOOKUP($A15,VRM[[Agency]:[FY25 Revenue Miles]], 5, FALSE)</f>
        <v>91473</v>
      </c>
      <c r="V15" s="466">
        <f>VLOOKUP(A15,PMT!$A$2:$D$22, 4, FALSE)</f>
        <v>0</v>
      </c>
      <c r="W15" s="302"/>
      <c r="X15" s="991">
        <f t="shared" si="3"/>
        <v>5.6914753233043021</v>
      </c>
      <c r="Y15" s="991">
        <f t="shared" si="4"/>
        <v>0.47150525291616108</v>
      </c>
      <c r="Z15" s="992">
        <f t="shared" si="5"/>
        <v>55.448403272631303</v>
      </c>
      <c r="AA15" s="992">
        <f t="shared" si="6"/>
        <v>4.5935740601051673</v>
      </c>
      <c r="AB15" s="992">
        <f t="shared" si="7"/>
        <v>9.7423603060514719</v>
      </c>
      <c r="AC15" s="993">
        <v>0</v>
      </c>
      <c r="AD15" s="993" t="str">
        <f t="shared" si="17"/>
        <v/>
      </c>
      <c r="AE15" s="1007">
        <f t="shared" si="8"/>
        <v>0</v>
      </c>
      <c r="AF15" s="1007">
        <f t="shared" si="9"/>
        <v>0</v>
      </c>
      <c r="AG15" s="1007">
        <f t="shared" si="10"/>
        <v>0</v>
      </c>
      <c r="AH15" s="1007">
        <f t="shared" si="11"/>
        <v>0</v>
      </c>
      <c r="AI15" s="1007">
        <f t="shared" si="12"/>
        <v>0</v>
      </c>
      <c r="AJ15" s="1007">
        <f t="shared" si="13"/>
        <v>0</v>
      </c>
      <c r="AK15" s="1007">
        <f t="shared" si="14"/>
        <v>0</v>
      </c>
      <c r="AL15" s="1008">
        <f t="shared" si="18"/>
        <v>0</v>
      </c>
      <c r="AM15" s="1092">
        <f t="shared" si="15"/>
        <v>0</v>
      </c>
      <c r="AN15" s="1011">
        <f t="shared" si="19"/>
        <v>0</v>
      </c>
      <c r="AO15" s="1012">
        <f t="shared" si="20"/>
        <v>0</v>
      </c>
      <c r="AP15" s="1137">
        <f t="shared" si="21"/>
        <v>124392.3246209519</v>
      </c>
      <c r="AQ15" s="1020">
        <f>VLOOKUP(A15,'Allocation Calculations_FY27'!$B$12:$CH$50, 85, FALSE)</f>
        <v>119753.49548534529</v>
      </c>
      <c r="AR15" s="1021">
        <f t="shared" si="22"/>
        <v>4638.8291356066038</v>
      </c>
      <c r="AS15" s="1022">
        <f t="shared" si="23"/>
        <v>3.8736482111073542E-2</v>
      </c>
      <c r="AT15" s="913">
        <f t="shared" si="24"/>
        <v>0.14684933140230255</v>
      </c>
    </row>
    <row r="16" spans="1:46" ht="14.25">
      <c r="A16" s="483" t="s">
        <v>56</v>
      </c>
      <c r="B16" s="358">
        <f>VLOOKUP($A16, 'Allocation Calculations_FY27'!$B$12:$G$50, 3, FALSE)</f>
        <v>14038846</v>
      </c>
      <c r="C16" s="352">
        <f>VLOOKUP($A16, OpCost[], 10, FALSE)</f>
        <v>12956188</v>
      </c>
      <c r="D16" s="353">
        <f>VLOOKUP($A16, Ridership[],10, FALSE)</f>
        <v>4031679.6666666665</v>
      </c>
      <c r="E16" s="353">
        <f>VLOOKUP($A16, VRHsizing[], 10, FALSE)</f>
        <v>104568.96666666667</v>
      </c>
      <c r="F16" s="353">
        <f>VLOOKUP($A16,VRMsizing[[Agency]:[3-Year Average FY25]],10, FALSE)</f>
        <v>1072704</v>
      </c>
      <c r="G16" s="354">
        <f t="shared" si="0"/>
        <v>0.25330674729580449</v>
      </c>
      <c r="H16" s="359">
        <f t="shared" si="1"/>
        <v>0.23015110011346035</v>
      </c>
      <c r="I16" s="355">
        <f t="shared" si="16"/>
        <v>0.25330674729580449</v>
      </c>
      <c r="J16" s="356">
        <f>MIN(0.3*SmallUrban!B16,SmallUrban!I16*Assumptions!$D$11)</f>
        <v>4008128.7526811813</v>
      </c>
      <c r="K16" s="356"/>
      <c r="L16" s="357">
        <f>I16*Assumptions!$D$11-SmallUrban!J16</f>
        <v>0</v>
      </c>
      <c r="M16" s="322">
        <f t="shared" si="2"/>
        <v>0.23015110011346035</v>
      </c>
      <c r="N16" s="325">
        <f>MIN(0.3*B16,M16*Assumptions!$D$11)</f>
        <v>3641731.819913683</v>
      </c>
      <c r="O16" s="325"/>
      <c r="P16" s="323">
        <f>M16*Assumptions!$D$11-N16</f>
        <v>0</v>
      </c>
      <c r="Q16" s="302"/>
      <c r="R16" s="457">
        <f>VLOOKUP($A16,OpCost[[Agency]:[FY25 Operating Cost Performance]], 6, FALSE)</f>
        <v>14038846</v>
      </c>
      <c r="S16" s="466">
        <f>VLOOKUP($A16,Ridership[[Agency]:[FY25 Ridership]], 6, FALSE)</f>
        <v>4783530</v>
      </c>
      <c r="T16" s="466">
        <f>VLOOKUP($A16,VRH[[Agency]:[FY25 Revenue Hours]], 5, FALSE)</f>
        <v>121490</v>
      </c>
      <c r="U16" s="466">
        <f>VLOOKUP($A16,VRM[[Agency]:[FY25 Revenue Miles]], 5, FALSE)</f>
        <v>1022384</v>
      </c>
      <c r="V16" s="466">
        <f>VLOOKUP(A16,PMT!$A$2:$D$22, 4, FALSE)</f>
        <v>8920281</v>
      </c>
      <c r="W16" s="302"/>
      <c r="X16" s="991">
        <f t="shared" si="3"/>
        <v>39.373857930693887</v>
      </c>
      <c r="Y16" s="991">
        <f t="shared" si="4"/>
        <v>4.6787997464749056</v>
      </c>
      <c r="Z16" s="992">
        <f t="shared" si="5"/>
        <v>115.55556835953577</v>
      </c>
      <c r="AA16" s="992">
        <f t="shared" si="6"/>
        <v>13.731480539601559</v>
      </c>
      <c r="AB16" s="992">
        <f t="shared" si="7"/>
        <v>2.9348297178025433</v>
      </c>
      <c r="AC16" s="993">
        <f t="shared" ref="AC16:AC20" si="25">IF(V16=0, "", V16/U16)</f>
        <v>8.7249810247421706</v>
      </c>
      <c r="AD16" s="993">
        <f t="shared" si="17"/>
        <v>73.423993744341104</v>
      </c>
      <c r="AE16" s="1007">
        <f t="shared" si="8"/>
        <v>1</v>
      </c>
      <c r="AF16" s="1007">
        <f t="shared" si="9"/>
        <v>1</v>
      </c>
      <c r="AG16" s="1007">
        <f t="shared" si="10"/>
        <v>0</v>
      </c>
      <c r="AH16" s="1007">
        <f t="shared" si="11"/>
        <v>0</v>
      </c>
      <c r="AI16" s="1007">
        <f t="shared" si="12"/>
        <v>0</v>
      </c>
      <c r="AJ16" s="1007">
        <f t="shared" si="13"/>
        <v>1</v>
      </c>
      <c r="AK16" s="1007">
        <f t="shared" si="14"/>
        <v>0</v>
      </c>
      <c r="AL16" s="1008">
        <f t="shared" si="18"/>
        <v>3</v>
      </c>
      <c r="AM16" s="1092">
        <f t="shared" si="15"/>
        <v>0.69045330034038099</v>
      </c>
      <c r="AN16" s="1011">
        <f t="shared" si="19"/>
        <v>0.33838782305145892</v>
      </c>
      <c r="AO16" s="1012">
        <f t="shared" si="20"/>
        <v>288121.80693595047</v>
      </c>
      <c r="AP16" s="1137">
        <f t="shared" si="21"/>
        <v>3929853.6268496336</v>
      </c>
      <c r="AQ16" s="1020">
        <f>VLOOKUP(A16,'Allocation Calculations_FY27'!$B$12:$CH$50, 85, FALSE)</f>
        <v>4211653.8</v>
      </c>
      <c r="AR16" s="1021">
        <f t="shared" si="22"/>
        <v>-281800.17315036617</v>
      </c>
      <c r="AS16" s="1022">
        <f t="shared" si="23"/>
        <v>-6.6909624231309375E-2</v>
      </c>
      <c r="AT16" s="913">
        <f t="shared" si="24"/>
        <v>8.7406506499777992E-2</v>
      </c>
    </row>
    <row r="17" spans="1:46" ht="14.25">
      <c r="A17" s="483" t="s">
        <v>26</v>
      </c>
      <c r="B17" s="358">
        <f>VLOOKUP($A17, 'Allocation Calculations_FY27'!$B$12:$G$50, 3, FALSE)</f>
        <v>19397700</v>
      </c>
      <c r="C17" s="352">
        <f>VLOOKUP($A17, OpCost[], 10, FALSE)</f>
        <v>16210713.666666666</v>
      </c>
      <c r="D17" s="353">
        <f>VLOOKUP($A17, Ridership[],10, FALSE)</f>
        <v>1424552.3333333333</v>
      </c>
      <c r="E17" s="353">
        <f>VLOOKUP($A17, VRHsizing[], 10, FALSE)</f>
        <v>128567</v>
      </c>
      <c r="F17" s="353">
        <f>VLOOKUP($A17,VRMsizing[[Agency]:[3-Year Average FY25]],10, FALSE)</f>
        <v>1413062.6666666667</v>
      </c>
      <c r="G17" s="354">
        <f t="shared" si="0"/>
        <v>0.21021261581407924</v>
      </c>
      <c r="H17" s="359">
        <f t="shared" si="1"/>
        <v>0.21730163271964212</v>
      </c>
      <c r="I17" s="355">
        <f t="shared" si="16"/>
        <v>0.21021261581407924</v>
      </c>
      <c r="J17" s="356">
        <f>MIN(0.3*SmallUrban!B17,SmallUrban!I17*Assumptions!$D$11)</f>
        <v>3326240.7678261204</v>
      </c>
      <c r="K17" s="356"/>
      <c r="L17" s="357">
        <f>I17*Assumptions!$D$11-SmallUrban!J17</f>
        <v>0</v>
      </c>
      <c r="M17" s="322">
        <f t="shared" si="2"/>
        <v>0.21730163271964212</v>
      </c>
      <c r="N17" s="325">
        <f>MIN(0.3*B17,M17*Assumptions!$D$11)</f>
        <v>3438411.852058033</v>
      </c>
      <c r="O17" s="325"/>
      <c r="P17" s="323">
        <f>M17*Assumptions!$D$11-N17</f>
        <v>0</v>
      </c>
      <c r="Q17" s="302"/>
      <c r="R17" s="457">
        <f>VLOOKUP($A17,OpCost[[Agency]:[FY25 Operating Cost Performance]], 6, FALSE)</f>
        <v>19397700</v>
      </c>
      <c r="S17" s="466">
        <f>VLOOKUP($A17,Ridership[[Agency]:[FY25 Ridership]], 6, FALSE)</f>
        <v>1552117</v>
      </c>
      <c r="T17" s="466">
        <f>VLOOKUP($A17,VRH[[Agency]:[FY25 Revenue Hours]], 5, FALSE)</f>
        <v>144029</v>
      </c>
      <c r="U17" s="466">
        <f>VLOOKUP($A17,VRM[[Agency]:[FY25 Revenue Miles]], 5, FALSE)</f>
        <v>1380275</v>
      </c>
      <c r="V17" s="466">
        <f>VLOOKUP(A17,PMT!$A$2:$D$22, 4, FALSE)</f>
        <v>0</v>
      </c>
      <c r="W17" s="302"/>
      <c r="X17" s="991">
        <f t="shared" si="3"/>
        <v>10.776420026522436</v>
      </c>
      <c r="Y17" s="991">
        <f t="shared" si="4"/>
        <v>1.1244983789462244</v>
      </c>
      <c r="Z17" s="992">
        <f t="shared" si="5"/>
        <v>134.67912712023272</v>
      </c>
      <c r="AA17" s="992">
        <f t="shared" si="6"/>
        <v>14.053503830758363</v>
      </c>
      <c r="AB17" s="992">
        <f t="shared" si="7"/>
        <v>12.497575891508179</v>
      </c>
      <c r="AC17" s="993">
        <v>0</v>
      </c>
      <c r="AD17" s="993" t="str">
        <f t="shared" si="17"/>
        <v/>
      </c>
      <c r="AE17" s="1007">
        <f t="shared" si="8"/>
        <v>1</v>
      </c>
      <c r="AF17" s="1007">
        <f t="shared" si="9"/>
        <v>1</v>
      </c>
      <c r="AG17" s="1007">
        <f t="shared" si="10"/>
        <v>0</v>
      </c>
      <c r="AH17" s="1007">
        <f t="shared" si="11"/>
        <v>0</v>
      </c>
      <c r="AI17" s="1007">
        <f t="shared" si="12"/>
        <v>0</v>
      </c>
      <c r="AJ17" s="1007">
        <f t="shared" si="13"/>
        <v>0</v>
      </c>
      <c r="AK17" s="1007">
        <f t="shared" si="14"/>
        <v>0</v>
      </c>
      <c r="AL17" s="1008">
        <f t="shared" si="18"/>
        <v>2</v>
      </c>
      <c r="AM17" s="1092">
        <f t="shared" si="15"/>
        <v>0.43460326543928424</v>
      </c>
      <c r="AN17" s="1011">
        <f t="shared" si="19"/>
        <v>0.21299695839031349</v>
      </c>
      <c r="AO17" s="1012">
        <f t="shared" si="20"/>
        <v>181357.20124286544</v>
      </c>
      <c r="AP17" s="1137">
        <f t="shared" si="21"/>
        <v>3619769.0533008985</v>
      </c>
      <c r="AQ17" s="1020">
        <f>VLOOKUP(A17,'Allocation Calculations_FY27'!$B$12:$CH$50, 85, FALSE)</f>
        <v>3733430.2194797336</v>
      </c>
      <c r="AR17" s="1021">
        <f t="shared" si="22"/>
        <v>-113661.16617883509</v>
      </c>
      <c r="AS17" s="1022">
        <f t="shared" si="23"/>
        <v>-3.0444165150266066E-2</v>
      </c>
      <c r="AT17" s="913">
        <f t="shared" si="24"/>
        <v>0.12656908960780688</v>
      </c>
    </row>
    <row r="18" spans="1:46" ht="14.25">
      <c r="A18" s="483" t="s">
        <v>28</v>
      </c>
      <c r="B18" s="358">
        <f>VLOOKUP($A18, 'Allocation Calculations_FY27'!$B$12:$G$50, 3, FALSE)</f>
        <v>7574503</v>
      </c>
      <c r="C18" s="352">
        <f>VLOOKUP($A18, OpCost[], 10, FALSE)</f>
        <v>7196254.333333333</v>
      </c>
      <c r="D18" s="353">
        <f>VLOOKUP($A18, Ridership[],10, FALSE)</f>
        <v>1785739</v>
      </c>
      <c r="E18" s="353">
        <f>VLOOKUP($A18, VRHsizing[], 10, FALSE)</f>
        <v>75632.666666666672</v>
      </c>
      <c r="F18" s="353">
        <f>VLOOKUP($A18,VRMsizing[[Agency]:[3-Year Average FY25]],10, FALSE)</f>
        <v>761865.33333333337</v>
      </c>
      <c r="G18" s="354">
        <f t="shared" si="0"/>
        <v>0.13265425988842938</v>
      </c>
      <c r="H18" s="359">
        <f t="shared" si="1"/>
        <v>0.12697786192764537</v>
      </c>
      <c r="I18" s="355">
        <f t="shared" si="16"/>
        <v>0.13265425988842938</v>
      </c>
      <c r="J18" s="356">
        <f>MIN(0.3*SmallUrban!B18,SmallUrban!I18*Assumptions!$D$11)</f>
        <v>2099017.7281126934</v>
      </c>
      <c r="K18" s="356"/>
      <c r="L18" s="357">
        <f>I18*Assumptions!$D$11-SmallUrban!J18</f>
        <v>0</v>
      </c>
      <c r="M18" s="322">
        <f t="shared" si="2"/>
        <v>0.12697786192764537</v>
      </c>
      <c r="N18" s="325">
        <f>MIN(0.3*B18,M18*Assumptions!$D$11)</f>
        <v>2009198.8262430548</v>
      </c>
      <c r="O18" s="325"/>
      <c r="P18" s="323">
        <f>M18*Assumptions!$D$11-N18</f>
        <v>0</v>
      </c>
      <c r="Q18" s="302"/>
      <c r="R18" s="457">
        <f>VLOOKUP($A18,OpCost[[Agency]:[FY25 Operating Cost Performance]], 6, FALSE)</f>
        <v>7574503</v>
      </c>
      <c r="S18" s="466">
        <f>VLOOKUP($A18,Ridership[[Agency]:[FY25 Ridership]], 6, FALSE)</f>
        <v>1957345</v>
      </c>
      <c r="T18" s="466">
        <f>VLOOKUP($A18,VRH[[Agency]:[FY25 Revenue Hours]], 5, FALSE)</f>
        <v>78270</v>
      </c>
      <c r="U18" s="466">
        <f>VLOOKUP($A18,VRM[[Agency]:[FY25 Revenue Miles]], 5, FALSE)</f>
        <v>768657</v>
      </c>
      <c r="V18" s="466">
        <f>VLOOKUP(A18,PMT!$A$2:$D$22, 4, FALSE)</f>
        <v>5061437</v>
      </c>
      <c r="W18" s="302"/>
      <c r="X18" s="991">
        <f t="shared" si="3"/>
        <v>25.007601890890506</v>
      </c>
      <c r="Y18" s="991">
        <f t="shared" si="4"/>
        <v>2.5464478954852425</v>
      </c>
      <c r="Z18" s="992">
        <f t="shared" si="5"/>
        <v>96.774025808100163</v>
      </c>
      <c r="AA18" s="992">
        <f t="shared" si="6"/>
        <v>9.8542041508761393</v>
      </c>
      <c r="AB18" s="992">
        <f t="shared" si="7"/>
        <v>3.8697843251956092</v>
      </c>
      <c r="AC18" s="993">
        <f t="shared" si="25"/>
        <v>6.584779687168659</v>
      </c>
      <c r="AD18" s="993">
        <f t="shared" si="17"/>
        <v>64.666372812060814</v>
      </c>
      <c r="AE18" s="1007">
        <f t="shared" si="8"/>
        <v>1</v>
      </c>
      <c r="AF18" s="1007">
        <f t="shared" si="9"/>
        <v>1</v>
      </c>
      <c r="AG18" s="1007">
        <f t="shared" si="10"/>
        <v>0</v>
      </c>
      <c r="AH18" s="1007">
        <f t="shared" si="11"/>
        <v>0</v>
      </c>
      <c r="AI18" s="1007">
        <f t="shared" si="12"/>
        <v>0</v>
      </c>
      <c r="AJ18" s="1007">
        <f t="shared" si="13"/>
        <v>1</v>
      </c>
      <c r="AK18" s="1007">
        <f t="shared" si="14"/>
        <v>0</v>
      </c>
      <c r="AL18" s="1008">
        <f t="shared" si="18"/>
        <v>3</v>
      </c>
      <c r="AM18" s="1092">
        <f t="shared" si="15"/>
        <v>0.38093358578293612</v>
      </c>
      <c r="AN18" s="1011">
        <f t="shared" si="19"/>
        <v>0.18669370796942669</v>
      </c>
      <c r="AO18" s="1012">
        <f t="shared" si="20"/>
        <v>158961.18246413348</v>
      </c>
      <c r="AP18" s="1137">
        <f t="shared" si="21"/>
        <v>2168160.0087071881</v>
      </c>
      <c r="AQ18" s="1020">
        <f>VLOOKUP(A18,'Allocation Calculations_FY27'!$B$12:$CH$50, 85, FALSE)</f>
        <v>2272350.9</v>
      </c>
      <c r="AR18" s="1021">
        <f t="shared" si="22"/>
        <v>-104190.89129281184</v>
      </c>
      <c r="AS18" s="1022">
        <f t="shared" si="23"/>
        <v>-4.5851585374781616E-2</v>
      </c>
      <c r="AT18" s="913">
        <f t="shared" si="24"/>
        <v>6.3988611181221414E-2</v>
      </c>
    </row>
    <row r="19" spans="1:46" ht="14.25">
      <c r="A19" s="483" t="s">
        <v>61</v>
      </c>
      <c r="B19" s="358">
        <f>VLOOKUP($A19, 'Allocation Calculations_FY27'!$B$12:$G$50, 3, FALSE)</f>
        <v>8890738</v>
      </c>
      <c r="C19" s="352">
        <f>VLOOKUP($A19, OpCost[], 10, FALSE)</f>
        <v>8190429.666666667</v>
      </c>
      <c r="D19" s="353">
        <f>VLOOKUP($A19, Ridership[],10, FALSE)</f>
        <v>1552360.6666666667</v>
      </c>
      <c r="E19" s="353">
        <f>VLOOKUP($A19, VRHsizing[], 10, FALSE)</f>
        <v>69706.333333333328</v>
      </c>
      <c r="F19" s="353">
        <f>VLOOKUP($A19,VRMsizing[[Agency]:[3-Year Average FY25]],10, FALSE)</f>
        <v>1116432.3333333333</v>
      </c>
      <c r="G19" s="354">
        <f t="shared" si="0"/>
        <v>0.13732040359356457</v>
      </c>
      <c r="H19" s="359">
        <f t="shared" si="1"/>
        <v>0.13588930580972924</v>
      </c>
      <c r="I19" s="355">
        <f t="shared" si="16"/>
        <v>0.13732040359356457</v>
      </c>
      <c r="J19" s="356">
        <f>MIN(0.3*SmallUrban!B19,SmallUrban!I19*Assumptions!$D$11)</f>
        <v>2172851.1531925802</v>
      </c>
      <c r="K19" s="356"/>
      <c r="L19" s="357">
        <f>I19*Assumptions!$D$11-SmallUrban!J19</f>
        <v>0</v>
      </c>
      <c r="M19" s="322">
        <f t="shared" si="2"/>
        <v>0.13588930580972924</v>
      </c>
      <c r="N19" s="325">
        <f>MIN(0.3*B19,M19*Assumptions!$D$11)</f>
        <v>2150206.5760681098</v>
      </c>
      <c r="O19" s="325"/>
      <c r="P19" s="323">
        <f>M19*Assumptions!$D$11-N19</f>
        <v>0</v>
      </c>
      <c r="Q19" s="302"/>
      <c r="R19" s="457">
        <f>VLOOKUP($A19,OpCost[[Agency]:[FY25 Operating Cost Performance]], 6, FALSE)</f>
        <v>8890738</v>
      </c>
      <c r="S19" s="466">
        <f>VLOOKUP($A19,Ridership[[Agency]:[FY25 Ridership]], 6, FALSE)</f>
        <v>1578514</v>
      </c>
      <c r="T19" s="466">
        <f>VLOOKUP($A19,VRH[[Agency]:[FY25 Revenue Hours]], 5, FALSE)</f>
        <v>69229</v>
      </c>
      <c r="U19" s="466">
        <f>VLOOKUP($A19,VRM[[Agency]:[FY25 Revenue Miles]], 5, FALSE)</f>
        <v>1127856</v>
      </c>
      <c r="V19" s="466">
        <f>VLOOKUP(A19,PMT!$A$2:$D$22, 4, FALSE)</f>
        <v>4479235</v>
      </c>
      <c r="W19" s="302"/>
      <c r="X19" s="991">
        <f t="shared" si="3"/>
        <v>22.801340478701121</v>
      </c>
      <c r="Y19" s="991">
        <f t="shared" si="4"/>
        <v>1.3995705125477012</v>
      </c>
      <c r="Z19" s="992">
        <f t="shared" si="5"/>
        <v>128.42505308468995</v>
      </c>
      <c r="AA19" s="992">
        <f t="shared" si="6"/>
        <v>7.8828662524293884</v>
      </c>
      <c r="AB19" s="992">
        <f t="shared" si="7"/>
        <v>5.632346624736936</v>
      </c>
      <c r="AC19" s="993">
        <f t="shared" si="25"/>
        <v>3.9714600090791734</v>
      </c>
      <c r="AD19" s="993">
        <f t="shared" si="17"/>
        <v>64.701714599373091</v>
      </c>
      <c r="AE19" s="1007">
        <f t="shared" si="8"/>
        <v>1</v>
      </c>
      <c r="AF19" s="1007">
        <f t="shared" si="9"/>
        <v>1</v>
      </c>
      <c r="AG19" s="1007">
        <f t="shared" si="10"/>
        <v>0</v>
      </c>
      <c r="AH19" s="1007">
        <f t="shared" si="11"/>
        <v>0</v>
      </c>
      <c r="AI19" s="1007">
        <f t="shared" si="12"/>
        <v>0</v>
      </c>
      <c r="AJ19" s="1007">
        <f t="shared" si="13"/>
        <v>1</v>
      </c>
      <c r="AK19" s="1007">
        <f t="shared" si="14"/>
        <v>0</v>
      </c>
      <c r="AL19" s="1008">
        <f t="shared" si="18"/>
        <v>3</v>
      </c>
      <c r="AM19" s="1092">
        <f t="shared" si="15"/>
        <v>0.40766791742918773</v>
      </c>
      <c r="AN19" s="1011">
        <f t="shared" si="19"/>
        <v>0.19979607460602761</v>
      </c>
      <c r="AO19" s="1012">
        <f t="shared" si="20"/>
        <v>170117.25042317671</v>
      </c>
      <c r="AP19" s="1137">
        <f t="shared" si="21"/>
        <v>2320323.8264912865</v>
      </c>
      <c r="AQ19" s="1020">
        <f>VLOOKUP(A19,'Allocation Calculations_FY27'!$B$12:$CH$50, 85, FALSE)</f>
        <v>2393568.4502067487</v>
      </c>
      <c r="AR19" s="1021">
        <f t="shared" si="22"/>
        <v>-73244.623715462163</v>
      </c>
      <c r="AS19" s="1022">
        <f t="shared" si="23"/>
        <v>-3.0600597074688016E-2</v>
      </c>
      <c r="AT19" s="913">
        <f t="shared" si="24"/>
        <v>7.5867127134860907E-2</v>
      </c>
    </row>
    <row r="20" spans="1:46" ht="14.25">
      <c r="A20" s="483" t="s">
        <v>38</v>
      </c>
      <c r="B20" s="358">
        <f>VLOOKUP($A20, 'Allocation Calculations_FY27'!$B$12:$G$50, 3, FALSE)</f>
        <v>9104264</v>
      </c>
      <c r="C20" s="352">
        <f>VLOOKUP($A20, OpCost[], 10, FALSE)</f>
        <v>8927461</v>
      </c>
      <c r="D20" s="353">
        <f>VLOOKUP($A20, Ridership[],10, FALSE)</f>
        <v>603028</v>
      </c>
      <c r="E20" s="353">
        <f>VLOOKUP($A20, VRHsizing[], 10, FALSE)</f>
        <v>80782.08666666667</v>
      </c>
      <c r="F20" s="353">
        <f>VLOOKUP($A20,VRMsizing[[Agency]:[3-Year Average FY25]],10, FALSE)</f>
        <v>1163824.99</v>
      </c>
      <c r="G20" s="354">
        <f t="shared" si="0"/>
        <v>0.11750530927570602</v>
      </c>
      <c r="H20" s="359">
        <f t="shared" si="1"/>
        <v>0.12676198547152751</v>
      </c>
      <c r="I20" s="355">
        <f t="shared" si="16"/>
        <v>0.11750530927570602</v>
      </c>
      <c r="J20" s="356">
        <f>MIN(0.3*SmallUrban!B20,SmallUrban!I20*Assumptions!$D$11)</f>
        <v>1859312.5281051395</v>
      </c>
      <c r="K20" s="356"/>
      <c r="L20" s="357">
        <f>I20*Assumptions!$D$11-SmallUrban!J20</f>
        <v>0</v>
      </c>
      <c r="M20" s="322">
        <f t="shared" si="2"/>
        <v>0.12676198547152751</v>
      </c>
      <c r="N20" s="325">
        <f>MIN(0.3*B20,M20*Assumptions!$D$11)</f>
        <v>2005782.9652759463</v>
      </c>
      <c r="O20" s="325"/>
      <c r="P20" s="323">
        <f>M20*Assumptions!$D$11-N20</f>
        <v>0</v>
      </c>
      <c r="Q20" s="302"/>
      <c r="R20" s="457">
        <f>VLOOKUP($A20,OpCost[[Agency]:[FY25 Operating Cost Performance]], 6, FALSE)</f>
        <v>9104264</v>
      </c>
      <c r="S20" s="466">
        <f>VLOOKUP($A20,Ridership[[Agency]:[FY25 Ridership]], 6, FALSE)</f>
        <v>704093</v>
      </c>
      <c r="T20" s="466">
        <f>VLOOKUP($A20,VRH[[Agency]:[FY25 Revenue Hours]], 5, FALSE)</f>
        <v>82740</v>
      </c>
      <c r="U20" s="466">
        <f>VLOOKUP($A20,VRM[[Agency]:[FY25 Revenue Miles]], 5, FALSE)</f>
        <v>1157573.97</v>
      </c>
      <c r="V20" s="466">
        <f>VLOOKUP(A20,PMT!$A$2:$D$22, 4, FALSE)</f>
        <v>2541731</v>
      </c>
      <c r="W20" s="302"/>
      <c r="X20" s="991">
        <f t="shared" si="3"/>
        <v>8.5097051003142372</v>
      </c>
      <c r="Y20" s="991">
        <f t="shared" si="4"/>
        <v>0.60824881886381743</v>
      </c>
      <c r="Z20" s="992">
        <f t="shared" si="5"/>
        <v>110.03461445491902</v>
      </c>
      <c r="AA20" s="992">
        <f t="shared" si="6"/>
        <v>7.8649522500924931</v>
      </c>
      <c r="AB20" s="992">
        <f t="shared" si="7"/>
        <v>12.930485035357545</v>
      </c>
      <c r="AC20" s="993">
        <f t="shared" si="25"/>
        <v>2.1957395949392331</v>
      </c>
      <c r="AD20" s="993">
        <f t="shared" si="17"/>
        <v>30.719494802997342</v>
      </c>
      <c r="AE20" s="1007">
        <f t="shared" si="8"/>
        <v>0</v>
      </c>
      <c r="AF20" s="1007">
        <f t="shared" si="9"/>
        <v>0</v>
      </c>
      <c r="AG20" s="1007">
        <f t="shared" si="10"/>
        <v>0</v>
      </c>
      <c r="AH20" s="1007">
        <f t="shared" si="11"/>
        <v>0</v>
      </c>
      <c r="AI20" s="1007">
        <f t="shared" si="12"/>
        <v>0</v>
      </c>
      <c r="AJ20" s="1007">
        <f t="shared" si="13"/>
        <v>1</v>
      </c>
      <c r="AK20" s="1007">
        <f t="shared" si="14"/>
        <v>0</v>
      </c>
      <c r="AL20" s="1008">
        <f t="shared" si="18"/>
        <v>1</v>
      </c>
      <c r="AM20" s="1092">
        <f t="shared" si="15"/>
        <v>0.12676198547152751</v>
      </c>
      <c r="AN20" s="1011">
        <f t="shared" si="19"/>
        <v>6.2125435982773258E-2</v>
      </c>
      <c r="AO20" s="1012">
        <f t="shared" si="20"/>
        <v>52896.97693796247</v>
      </c>
      <c r="AP20" s="1137">
        <f t="shared" si="21"/>
        <v>2058679.9422139088</v>
      </c>
      <c r="AQ20" s="1020">
        <f>VLOOKUP(A20,'Allocation Calculations_FY27'!$B$12:$CH$50, 85, FALSE)</f>
        <v>2037485.631064282</v>
      </c>
      <c r="AR20" s="1021">
        <f t="shared" si="22"/>
        <v>21194.311149626737</v>
      </c>
      <c r="AS20" s="1022">
        <f t="shared" si="23"/>
        <v>1.0402189260375729E-2</v>
      </c>
      <c r="AT20" s="913">
        <f t="shared" si="24"/>
        <v>9.1175641599658228E-2</v>
      </c>
    </row>
    <row r="21" spans="1:46" ht="15" thickBot="1">
      <c r="A21" s="1097" t="s">
        <v>25</v>
      </c>
      <c r="B21" s="360">
        <f>VLOOKUP($A21, 'Allocation Calculations_FY27'!$B$12:$G$50, 3, FALSE)</f>
        <v>3322249</v>
      </c>
      <c r="C21" s="352">
        <f>VLOOKUP($A21, OpCost[], 10, FALSE)</f>
        <v>3245459.3333333335</v>
      </c>
      <c r="D21" s="353">
        <f>VLOOKUP($A21, Ridership[],10, FALSE)</f>
        <v>208481</v>
      </c>
      <c r="E21" s="353">
        <f>VLOOKUP($A21, VRHsizing[], 10, FALSE)</f>
        <v>36986.543333333335</v>
      </c>
      <c r="F21" s="353">
        <f>VLOOKUP($A21,VRMsizing[[Agency]:[3-Year Average FY25]],10, FALSE)</f>
        <v>718487.31333333335</v>
      </c>
      <c r="G21" s="354">
        <f t="shared" si="0"/>
        <v>4.7847575106033317E-2</v>
      </c>
      <c r="H21" s="361">
        <f t="shared" si="1"/>
        <v>5.4043118712098465E-2</v>
      </c>
      <c r="I21" s="362">
        <f t="shared" si="16"/>
        <v>4.7847575106033317E-2</v>
      </c>
      <c r="J21" s="356">
        <f>MIN(0.3*SmallUrban!B21,SmallUrban!I21*Assumptions!$D$11)</f>
        <v>757102.77588701597</v>
      </c>
      <c r="K21" s="356"/>
      <c r="L21" s="377">
        <f>I21*Assumptions!$D$11-SmallUrban!J21</f>
        <v>0</v>
      </c>
      <c r="M21" s="324">
        <f t="shared" si="2"/>
        <v>5.4043118712098465E-2</v>
      </c>
      <c r="N21" s="330">
        <f>MIN(0.3*B21,M21*Assumptions!$D$11)</f>
        <v>855136.23425739654</v>
      </c>
      <c r="O21" s="330"/>
      <c r="P21" s="331">
        <f>M21*Assumptions!$D$11-N21</f>
        <v>0</v>
      </c>
      <c r="Q21" s="302"/>
      <c r="R21" s="457">
        <f>VLOOKUP($A21,OpCost[[Agency]:[FY25 Operating Cost Performance]], 6, FALSE)</f>
        <v>3322249</v>
      </c>
      <c r="S21" s="466">
        <f>VLOOKUP($A21,Ridership[[Agency]:[FY25 Ridership]], 6, FALSE)</f>
        <v>215834</v>
      </c>
      <c r="T21" s="466">
        <f>VLOOKUP($A21,VRH[[Agency]:[FY25 Revenue Hours]], 5, FALSE)</f>
        <v>36644</v>
      </c>
      <c r="U21" s="466">
        <f>VLOOKUP($A21,VRM[[Agency]:[FY25 Revenue Miles]], 5, FALSE)</f>
        <v>705618.94</v>
      </c>
      <c r="V21" s="466">
        <f>VLOOKUP(A21,PMT!$A$2:$D$22, 4, FALSE)</f>
        <v>0</v>
      </c>
      <c r="W21" s="302"/>
      <c r="X21" s="994">
        <f t="shared" si="3"/>
        <v>5.890022923261653</v>
      </c>
      <c r="Y21" s="994">
        <f t="shared" si="4"/>
        <v>0.30587897768163652</v>
      </c>
      <c r="Z21" s="995">
        <f t="shared" si="5"/>
        <v>90.662837026525494</v>
      </c>
      <c r="AA21" s="995">
        <f>R21/U21</f>
        <v>4.7082763963223551</v>
      </c>
      <c r="AB21" s="995">
        <f t="shared" si="7"/>
        <v>15.392611914712232</v>
      </c>
      <c r="AC21" s="996">
        <v>0</v>
      </c>
      <c r="AD21" s="996" t="str">
        <f t="shared" si="17"/>
        <v/>
      </c>
      <c r="AE21" s="1035">
        <f t="shared" si="8"/>
        <v>0</v>
      </c>
      <c r="AF21" s="1035">
        <f t="shared" si="9"/>
        <v>0</v>
      </c>
      <c r="AG21" s="1035">
        <f t="shared" si="10"/>
        <v>0</v>
      </c>
      <c r="AH21" s="1035">
        <f t="shared" si="11"/>
        <v>0</v>
      </c>
      <c r="AI21" s="1035">
        <f t="shared" si="12"/>
        <v>0</v>
      </c>
      <c r="AJ21" s="1035">
        <f t="shared" si="13"/>
        <v>0</v>
      </c>
      <c r="AK21" s="1036">
        <f t="shared" si="14"/>
        <v>0</v>
      </c>
      <c r="AL21" s="1008">
        <f t="shared" si="18"/>
        <v>0</v>
      </c>
      <c r="AM21" s="1093">
        <f t="shared" si="15"/>
        <v>0</v>
      </c>
      <c r="AN21" s="1013">
        <f t="shared" si="19"/>
        <v>0</v>
      </c>
      <c r="AO21" s="1014">
        <f t="shared" si="20"/>
        <v>0</v>
      </c>
      <c r="AP21" s="1138">
        <f t="shared" si="21"/>
        <v>855136.23425739654</v>
      </c>
      <c r="AQ21" s="1023">
        <f>VLOOKUP(A21,'Allocation Calculations_FY27'!$B$12:$CH$50, 85, FALSE)</f>
        <v>746576.37758467125</v>
      </c>
      <c r="AR21" s="1024">
        <f t="shared" si="22"/>
        <v>108559.85667272529</v>
      </c>
      <c r="AS21" s="1025">
        <f t="shared" si="23"/>
        <v>0.14541024861239094</v>
      </c>
      <c r="AT21" s="914">
        <f t="shared" si="24"/>
        <v>0.17376590526431343</v>
      </c>
    </row>
    <row r="22" spans="1:46" ht="17.25" thickTop="1" thickBot="1">
      <c r="A22" s="363" t="s">
        <v>121</v>
      </c>
      <c r="B22" s="364" t="s">
        <v>173</v>
      </c>
      <c r="C22" s="365">
        <f t="shared" ref="C22:J22" si="26">SUM(C13:C21)</f>
        <v>64506390.666666672</v>
      </c>
      <c r="D22" s="366">
        <f t="shared" si="26"/>
        <v>10120062.666666666</v>
      </c>
      <c r="E22" s="366">
        <f t="shared" si="26"/>
        <v>566284.26333333331</v>
      </c>
      <c r="F22" s="366">
        <f t="shared" si="26"/>
        <v>7199419.6366666667</v>
      </c>
      <c r="G22" s="367">
        <f t="shared" si="26"/>
        <v>1</v>
      </c>
      <c r="H22" s="367">
        <f t="shared" si="26"/>
        <v>1</v>
      </c>
      <c r="I22" s="368">
        <f t="shared" si="26"/>
        <v>1</v>
      </c>
      <c r="J22" s="369">
        <f t="shared" si="26"/>
        <v>15823221.431999998</v>
      </c>
      <c r="K22" s="369"/>
      <c r="L22" s="378">
        <f>SUM(L13:L21)</f>
        <v>0</v>
      </c>
      <c r="M22" s="313">
        <f>SUM(M13:M21)</f>
        <v>1</v>
      </c>
      <c r="N22" s="329">
        <f>SUM(N13:N21)</f>
        <v>15823221.431999996</v>
      </c>
      <c r="O22" s="329"/>
      <c r="P22" s="314">
        <f>SUM(P13:P21)</f>
        <v>0</v>
      </c>
      <c r="Q22" s="302"/>
      <c r="R22" s="453">
        <f>SUM(R13:R21)</f>
        <v>70768459</v>
      </c>
      <c r="S22" s="453">
        <f t="shared" ref="S22:U22" si="27">SUM(S13:S21)</f>
        <v>11264740</v>
      </c>
      <c r="T22" s="453">
        <f t="shared" si="27"/>
        <v>606333</v>
      </c>
      <c r="U22" s="453">
        <f t="shared" si="27"/>
        <v>7139978.9100000001</v>
      </c>
      <c r="V22" s="453">
        <f>SUM(V13:V21)</f>
        <v>21002684</v>
      </c>
      <c r="W22" s="461" t="s">
        <v>122</v>
      </c>
      <c r="X22" s="997">
        <f t="shared" si="3"/>
        <v>18.578470906251184</v>
      </c>
      <c r="Y22" s="997">
        <f t="shared" si="4"/>
        <v>1.5776993380502855</v>
      </c>
      <c r="Z22" s="998">
        <f t="shared" si="5"/>
        <v>116.71549956871884</v>
      </c>
      <c r="AA22" s="998">
        <f t="shared" si="6"/>
        <v>9.9115781561881384</v>
      </c>
      <c r="AB22" s="998">
        <f t="shared" si="7"/>
        <v>6.2822984818113863</v>
      </c>
      <c r="AC22" s="999">
        <f t="shared" ref="AC22" si="28">S22/T22</f>
        <v>18.578470906251184</v>
      </c>
      <c r="AD22" s="999">
        <f t="shared" ref="AD22" si="29">T22/U22</f>
        <v>8.4920839072898602E-2</v>
      </c>
      <c r="AE22" s="1015">
        <f>SUM(AE13:AE21)</f>
        <v>4</v>
      </c>
      <c r="AF22" s="1015">
        <f t="shared" ref="AF22:AK22" si="30">SUM(AF13:AF21)</f>
        <v>4</v>
      </c>
      <c r="AG22" s="1015">
        <f t="shared" si="30"/>
        <v>0</v>
      </c>
      <c r="AH22" s="1015">
        <f t="shared" si="30"/>
        <v>0</v>
      </c>
      <c r="AI22" s="1015">
        <f t="shared" si="30"/>
        <v>0</v>
      </c>
      <c r="AJ22" s="1015">
        <f t="shared" si="30"/>
        <v>4</v>
      </c>
      <c r="AK22" s="1015">
        <f t="shared" si="30"/>
        <v>0</v>
      </c>
      <c r="AL22" s="1017">
        <f t="shared" ref="AL22:AQ22" si="31">SUM(AL13:AL21)</f>
        <v>12</v>
      </c>
      <c r="AM22" s="1094">
        <f t="shared" si="31"/>
        <v>2.0404200544633166</v>
      </c>
      <c r="AN22" s="1009">
        <f t="shared" si="31"/>
        <v>1</v>
      </c>
      <c r="AO22" s="1095">
        <f t="shared" si="31"/>
        <v>851454.41800408857</v>
      </c>
      <c r="AP22" s="459">
        <f t="shared" si="31"/>
        <v>16674675.850004088</v>
      </c>
      <c r="AQ22" s="1139">
        <f t="shared" si="31"/>
        <v>17061054.47405741</v>
      </c>
      <c r="AR22" s="1027"/>
      <c r="AS22" s="1028"/>
    </row>
    <row r="23" spans="1:46" ht="15" thickBot="1">
      <c r="A23" s="301"/>
      <c r="B23" s="301"/>
      <c r="C23" s="370"/>
      <c r="D23" s="371"/>
      <c r="E23" s="371"/>
      <c r="F23" s="371"/>
      <c r="G23" s="371"/>
      <c r="H23" s="372"/>
      <c r="I23" s="373"/>
      <c r="J23" s="374"/>
      <c r="K23" s="374"/>
      <c r="L23" s="374"/>
      <c r="M23" s="306"/>
      <c r="N23" s="307"/>
      <c r="O23" s="302"/>
      <c r="P23" s="308"/>
      <c r="Q23" s="302"/>
      <c r="W23" s="461" t="s">
        <v>124</v>
      </c>
      <c r="X23" s="1000">
        <f>MEDIAN(X13:X21)</f>
        <v>8.5097051003142372</v>
      </c>
      <c r="Y23" s="1000">
        <f t="shared" ref="Y23:AA23" si="32">MEDIAN(Y13:Y21)</f>
        <v>0.60824881886381743</v>
      </c>
      <c r="Z23" s="1041">
        <f t="shared" si="32"/>
        <v>110.03461445491902</v>
      </c>
      <c r="AA23" s="1041">
        <f t="shared" si="32"/>
        <v>7.9261908068323841</v>
      </c>
      <c r="AB23" s="1041">
        <f t="shared" ref="AB23" si="33">MEDIAN(AB13:AB21)</f>
        <v>12.497575891508179</v>
      </c>
      <c r="AC23" s="1000">
        <f>MEDIAN(AC16,AC18,AC19,AC20)</f>
        <v>5.2781198481239162</v>
      </c>
      <c r="AD23" s="1000">
        <f t="shared" ref="AD23" si="34">MEDIAN(AD16,AD18,AD19,AD20)</f>
        <v>64.684043705716959</v>
      </c>
      <c r="AE23" s="1096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</row>
    <row r="24" spans="1:46">
      <c r="A24" s="302"/>
      <c r="W24" s="461" t="s">
        <v>126</v>
      </c>
      <c r="X24" s="1000">
        <f>AVERAGE(X13:X21)</f>
        <v>14.476753617919421</v>
      </c>
      <c r="Y24" s="1000">
        <f t="shared" ref="Y24:AA24" si="35">AVERAGE(Y13:Y21)</f>
        <v>1.3377488634857377</v>
      </c>
      <c r="Z24" s="1041">
        <f t="shared" si="35"/>
        <v>107.33245456363336</v>
      </c>
      <c r="AA24" s="1041">
        <f t="shared" si="35"/>
        <v>8.9262912040866151</v>
      </c>
      <c r="AB24" s="1041">
        <f t="shared" ref="AB24" si="36">AVERAGE(AB13:AB21)</f>
        <v>11.591570446184827</v>
      </c>
      <c r="AC24" s="1000">
        <f>AVERAGE(AC16,AC18,AC19,AC20)</f>
        <v>5.3692400789823092</v>
      </c>
      <c r="AD24" s="1000">
        <f>AVERAGE(AD16,AD18,AD19,AD20)</f>
        <v>58.377893989693085</v>
      </c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</row>
    <row r="25" spans="1:46" ht="14.1" customHeight="1">
      <c r="A25" s="302"/>
      <c r="W25" s="975" t="s">
        <v>65</v>
      </c>
      <c r="X25" s="976">
        <f>PERCENTILE(X13:X21,$W7)</f>
        <v>10.323077041280795</v>
      </c>
      <c r="Y25" s="976">
        <f>PERCENTILE(Y13:Y21,$W7)</f>
        <v>1.0212484669297428</v>
      </c>
      <c r="Z25" s="978">
        <f>PERCENTILE(Z13:Z21,(1-$W7))</f>
        <v>99.426143537463943</v>
      </c>
      <c r="AA25" s="978">
        <f>PERCENTILE(AA13:AA21,(1-$W7))</f>
        <v>7.8915311633099874</v>
      </c>
      <c r="AB25" s="978">
        <f>PERCENTILE(AB13:AB21,(1-$W7))</f>
        <v>10.293403423142813</v>
      </c>
      <c r="AC25" s="979">
        <f>PERCENTILE(AC13:AC21,$W7)</f>
        <v>1.756591675951386</v>
      </c>
      <c r="AD25" s="979">
        <f>PERCENTILE(AD16:AD20,$W7)</f>
        <v>64.694646241910633</v>
      </c>
      <c r="AE25" s="1019"/>
      <c r="AF25" s="302"/>
      <c r="AG25" s="461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</row>
    <row r="26" spans="1:46">
      <c r="A26" s="302"/>
      <c r="W26" s="533" t="s">
        <v>127</v>
      </c>
      <c r="X26" s="1155">
        <v>10.035525194955138</v>
      </c>
      <c r="Y26" s="1155">
        <v>0.97988700610826451</v>
      </c>
      <c r="Z26" s="1155">
        <v>85.553998933359125</v>
      </c>
      <c r="AA26" s="1155">
        <v>7.2518631240647249</v>
      </c>
      <c r="AB26" s="1155">
        <v>10.502066583166595</v>
      </c>
      <c r="AC26" s="1156">
        <v>3.6175034467464808</v>
      </c>
      <c r="AD26" s="1156">
        <v>46.441865968813282</v>
      </c>
      <c r="AE26" s="461" t="s">
        <v>128</v>
      </c>
      <c r="AF26" s="302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</row>
    <row r="27" spans="1:46" ht="26.25" hidden="1" thickBot="1">
      <c r="A27" s="302"/>
      <c r="AL27" s="518" t="s">
        <v>80</v>
      </c>
      <c r="AM27" s="519"/>
      <c r="AN27" s="520">
        <f>Assumptions!D19</f>
        <v>782575.53004921647</v>
      </c>
      <c r="AO27" s="910"/>
    </row>
    <row r="28" spans="1:46" ht="15" hidden="1" thickBot="1">
      <c r="A28" s="302"/>
      <c r="B28" s="1158" t="s">
        <v>81</v>
      </c>
      <c r="C28" s="1159"/>
      <c r="D28" s="1159"/>
      <c r="E28" s="1159"/>
      <c r="F28" s="1159"/>
      <c r="G28" s="1160"/>
      <c r="H28" s="1160"/>
      <c r="I28" s="1161" t="s">
        <v>70</v>
      </c>
      <c r="J28" s="1161"/>
      <c r="K28" s="1161"/>
      <c r="L28" s="1161"/>
      <c r="M28" s="1162" t="s">
        <v>71</v>
      </c>
      <c r="N28" s="1162"/>
      <c r="O28" s="1162"/>
      <c r="P28" s="1162"/>
    </row>
    <row r="29" spans="1:46" ht="71.25" hidden="1">
      <c r="A29" s="302"/>
      <c r="B29" s="896" t="s">
        <v>133</v>
      </c>
      <c r="C29" s="897" t="s">
        <v>134</v>
      </c>
      <c r="D29" s="897" t="s">
        <v>135</v>
      </c>
      <c r="E29" s="897" t="s">
        <v>136</v>
      </c>
      <c r="F29" s="897" t="s">
        <v>137</v>
      </c>
      <c r="G29" s="897" t="s">
        <v>88</v>
      </c>
      <c r="H29" s="897" t="s">
        <v>89</v>
      </c>
      <c r="I29" s="881" t="s">
        <v>90</v>
      </c>
      <c r="J29" s="882" t="s">
        <v>91</v>
      </c>
      <c r="K29" s="882"/>
      <c r="L29" s="883" t="s">
        <v>3</v>
      </c>
      <c r="M29" s="879" t="s">
        <v>92</v>
      </c>
      <c r="N29" s="884" t="s">
        <v>93</v>
      </c>
      <c r="O29" s="884"/>
      <c r="P29" s="885" t="s">
        <v>3</v>
      </c>
      <c r="R29" s="465" t="s">
        <v>138</v>
      </c>
      <c r="S29" s="465" t="s">
        <v>139</v>
      </c>
      <c r="T29" s="465" t="s">
        <v>140</v>
      </c>
      <c r="U29" s="465" t="s">
        <v>141</v>
      </c>
      <c r="V29" s="465" t="s">
        <v>174</v>
      </c>
      <c r="X29" s="504" t="s">
        <v>175</v>
      </c>
      <c r="Y29" s="504" t="s">
        <v>176</v>
      </c>
      <c r="Z29" s="504" t="s">
        <v>177</v>
      </c>
      <c r="AA29" s="504" t="s">
        <v>178</v>
      </c>
      <c r="AB29" s="504" t="s">
        <v>179</v>
      </c>
      <c r="AC29" s="504" t="s">
        <v>180</v>
      </c>
      <c r="AD29" s="504" t="s">
        <v>181</v>
      </c>
      <c r="AE29" s="463" t="s">
        <v>143</v>
      </c>
      <c r="AF29" s="463" t="s">
        <v>144</v>
      </c>
      <c r="AG29" s="463" t="s">
        <v>145</v>
      </c>
      <c r="AH29" s="463" t="s">
        <v>146</v>
      </c>
      <c r="AI29" s="463" t="s">
        <v>147</v>
      </c>
      <c r="AJ29" s="463" t="s">
        <v>148</v>
      </c>
      <c r="AK29" s="514" t="s">
        <v>182</v>
      </c>
      <c r="AL29" s="513" t="s">
        <v>113</v>
      </c>
      <c r="AM29" s="955"/>
      <c r="AN29" s="503" t="s">
        <v>114</v>
      </c>
      <c r="AO29" s="503" t="s">
        <v>172</v>
      </c>
      <c r="AP29" s="940" t="s">
        <v>116</v>
      </c>
      <c r="AQ29" s="915" t="s">
        <v>150</v>
      </c>
      <c r="AR29" s="916" t="s">
        <v>118</v>
      </c>
      <c r="AS29" s="917" t="s">
        <v>119</v>
      </c>
      <c r="AT29" s="963" t="s">
        <v>120</v>
      </c>
    </row>
    <row r="30" spans="1:46" ht="14.25" hidden="1">
      <c r="A30" s="472" t="s">
        <v>32</v>
      </c>
      <c r="B30" s="892">
        <f>VLOOKUP($A30,'Allocation Calculations_FY26'!$B$12:$D$49, 3, FALSE)</f>
        <v>2376491</v>
      </c>
      <c r="C30" s="892">
        <f>VLOOKUP($A30, OpCost[], 11, FALSE)</f>
        <v>1909211.6666666667</v>
      </c>
      <c r="D30" s="893">
        <f>VLOOKUP($A30, Ridership[],10, FALSE)</f>
        <v>156134</v>
      </c>
      <c r="E30" s="893">
        <f>VLOOKUP($A30, VRHsizing[], 11, FALSE)</f>
        <v>20932.333333333332</v>
      </c>
      <c r="F30" s="893">
        <f>VLOOKUP($A30,VRMsizing[[Agency]:[3-Year Average FY25]],10, FALSE)</f>
        <v>315455.33333333331</v>
      </c>
      <c r="G30" s="354">
        <f>IFERROR($I$9*(C30/C$39),0) + IFERROR($J$9*(D30/D$39),0) + IFERROR($K$9*(E30/E$39),0) + IFERROR($L$9*(F30/F$39),0)</f>
        <v>2.9188005616879939E-2</v>
      </c>
      <c r="H30" s="354">
        <f>IFERROR($M$9*(C30/C$39),0) + IFERROR($N$9*(D30/D$39),0) + IFERROR($O$9*(E30/E$39),0) + IFERROR($P$9*(F30/F$39),0)</f>
        <v>3.1778179999685519E-2</v>
      </c>
      <c r="I30" s="886">
        <f>G30/SUM($G$30:$G$38)</f>
        <v>2.9188005616879932E-2</v>
      </c>
      <c r="J30" s="887">
        <f>MIN(0.3*B30,I30*Assumptions!$D$20)</f>
        <v>423423.51580464258</v>
      </c>
      <c r="K30" s="887"/>
      <c r="L30" s="888">
        <f>I30*Assumptions!$D$20-J30</f>
        <v>0</v>
      </c>
      <c r="M30" s="880">
        <f>H30/SUM($H$30:$H$38)</f>
        <v>3.1778179999685519E-2</v>
      </c>
      <c r="N30" s="889">
        <f>MIN(0.3*B30,M30*Assumptions!$D$20)</f>
        <v>460998.56488851685</v>
      </c>
      <c r="O30" s="889"/>
      <c r="P30" s="890">
        <f>M30*Assumptions!$D$20-N30</f>
        <v>0</v>
      </c>
      <c r="R30" s="457">
        <f>VLOOKUP($A30,OpCost[[Agency]:[FY25 Operating Cost Performance]], 5, FALSE)</f>
        <v>2380653</v>
      </c>
      <c r="S30" s="466">
        <f>VLOOKUP($A30,Ridership[[Agency]:[FY25 Ridership]], 5, FALSE)</f>
        <v>181306</v>
      </c>
      <c r="T30" s="466">
        <f>VLOOKUP($A30,VRH[[Agency]:[FY25 Revenue Hours]], 4, FALSE)</f>
        <v>25268</v>
      </c>
      <c r="U30" s="466">
        <f>VLOOKUP($A30,VRM[[Agency]:[FY25 Revenue Miles]], 4, FALSE)</f>
        <v>226791</v>
      </c>
      <c r="V30" s="466">
        <f>VLOOKUP(A30,PMT!$A$2:$D$22, 3, FALSE)</f>
        <v>0</v>
      </c>
      <c r="X30" s="455">
        <f t="shared" ref="X30:X39" si="37">S30/T30</f>
        <v>7.1753205635586514</v>
      </c>
      <c r="Y30" s="455">
        <f t="shared" ref="Y30:Y39" si="38">S30/U30</f>
        <v>0.79944089492087433</v>
      </c>
      <c r="Z30" s="456">
        <f t="shared" ref="Z30:Z39" si="39">R30/T30</f>
        <v>94.216123159727715</v>
      </c>
      <c r="AA30" s="456">
        <f t="shared" ref="AA30:AA39" si="40">R30/U30</f>
        <v>10.497122901702449</v>
      </c>
      <c r="AB30" s="456">
        <f t="shared" ref="AB30:AB39" si="41">R30/S30</f>
        <v>13.13058034483139</v>
      </c>
      <c r="AC30" s="499" t="str">
        <f>IF(V30=0, "", V30/U30)</f>
        <v/>
      </c>
      <c r="AD30" s="499" t="str">
        <f>IF(V30=0, "",V30/T30)</f>
        <v/>
      </c>
      <c r="AE30" s="466">
        <f t="shared" ref="AE30:AE38" si="42">IF(X$10="Yes",(IF($W$6="Weighted Average",IF(X30&gt;=X$39,1,0),IF($W$6="MEDIAN",IF(X30&gt;=X$40,1,0),IF($W$6="MEAN",IF(X30&gt;=X$41,1,0),IF($W$6="PERCENTILE",IF(X30&gt;=X$42,1,0),IF(X30&gt;=X$43,1,0)) )))), 0)</f>
        <v>0</v>
      </c>
      <c r="AF30" s="466">
        <f t="shared" ref="AF30:AF38" si="43">IF(Y$10="Yes",(IF($W$6="Weighted Average",IF(Y30&gt;=Y$39,1,0),IF($W$6="MEDIAN",IF(Y30&gt;=Y$40,1,0),IF($W$6="MEAN",IF(Y30&gt;=Y$41,1,0),IF($W$6="PERCENTILE",IF(Y30&gt;=Y$42,1,0),IF(Y30&gt;=Y$43,1,0)) )))), 0)</f>
        <v>0</v>
      </c>
      <c r="AG30" s="466">
        <f t="shared" ref="AG30:AG38" si="44">IF(Z$10="Yes",(IF($W$6="Weighted Average",IF(Z30&lt;=Z$39,1,0),IF($W$6="MEDIAN",IF(Z30&lt;=Z$40,1,0),IF($W$6="MEAN",IF(Z30&lt;=Z$41,1,0),IF($W$6="PERCENTILE",IF(Z30&lt;=Z$42,1,0),IF(Z30&lt;=Z$43,1,0)) )))), 0)</f>
        <v>0</v>
      </c>
      <c r="AH30" s="466">
        <f t="shared" ref="AH30:AH38" si="45">IF(AA$10="Yes",(IF($W$6="Weighted Average",IF(AA30&lt;=AA$39,1,0),IF($W$6="MEDIAN",IF(AA30&lt;=AA$40,1,0),IF($W$6="MEAN",IF(AA30&lt;=AA$41,1,0),IF($W$6="PERCENTILE",IF(AA30&lt;=AA$42,1,0),IF(AA30&lt;=AA$43,1,0)) )))), 0)</f>
        <v>0</v>
      </c>
      <c r="AI30" s="466">
        <f t="shared" ref="AI30:AI38" si="46">IF(AB$10="Yes",(IF($W$6="Weighted Average",IF(AB30&lt;=AB$39,1,0),IF($W$6="MEDIAN",IF(AB30&lt;=AB$40,1,0),IF($W$6="MEAN",IF(AB30&lt;=AB$41,1,0),IF($W$6="PERCENTILE",IF(AB30&lt;=AB$42,1,0),IF(AB30&lt;=AB$43,1,0)) )))), 0)</f>
        <v>0</v>
      </c>
      <c r="AJ30" s="466">
        <f t="shared" ref="AJ30:AJ38" si="47">IF(AC$10="Yes",(IF($W$6="Weighted Average",IF(AC30&gt;=AC$39,1,0),IF($W$6="MEDIAN",IF(AC30&gt;=AC$40,1,0),IF($W$6="MEAN",IF(AC30&gt;=AC$41,1,0),IF($W$6="PERCENTILE",IF(AC30&gt;=AC$42,1,0),IF(AC30&gt;=AC$43,1,0)) ))))*IF(AC30="",0,1), 0)</f>
        <v>0</v>
      </c>
      <c r="AK30" s="957">
        <f t="shared" ref="AK30:AK38" si="48">IF(AD$10="Yes",(IF($W$6="Weighted Average",IF(AD30&gt;=AD$39,1,0),IF($W$6="MEDIAN",IF(AD30&gt;=AD$40,1,0),IF($W$6="MEAN",IF(AD30&gt;=AD$41,1,0),IF($W$6="PERCENTILE",IF(AD30&gt;=AD$42,1,0),IF(AD30&gt;=AD$43,1,0)) ))))*IF(AD30="",0,1), 0)</f>
        <v>0</v>
      </c>
      <c r="AL30" s="506">
        <f>MIN(SUM(AE30:AK30),$AL$5)</f>
        <v>0</v>
      </c>
      <c r="AM30" s="955">
        <f t="shared" ref="AM30:AM38" si="49">M30*AL30</f>
        <v>0</v>
      </c>
      <c r="AN30" s="502">
        <f>AM30/$AM$39</f>
        <v>0</v>
      </c>
      <c r="AO30" s="457">
        <f>AN30*$AN$27</f>
        <v>0</v>
      </c>
      <c r="AP30" s="941">
        <f>AO30+N30</f>
        <v>460998.56488851685</v>
      </c>
      <c r="AQ30" s="457">
        <f>VLOOKUP(A30,'Allocation Calculations_FY26'!$B$12:$CH$49,85, FALSE)</f>
        <v>513663.07295802294</v>
      </c>
      <c r="AR30" s="501">
        <f>AP30-AQ30</f>
        <v>-52664.50806950609</v>
      </c>
      <c r="AS30" s="502">
        <f>AR30/AQ30</f>
        <v>-0.10252733911010552</v>
      </c>
      <c r="AT30" s="938">
        <f>(AP30-AP47)/AP47</f>
        <v>8.8132587155823658E-2</v>
      </c>
    </row>
    <row r="31" spans="1:46" ht="14.25" hidden="1">
      <c r="A31" s="472" t="s">
        <v>37</v>
      </c>
      <c r="B31" s="892">
        <v>5072179</v>
      </c>
      <c r="C31" s="892">
        <f>VLOOKUP($A31, OpCost[], 11, FALSE)</f>
        <v>4790752</v>
      </c>
      <c r="D31" s="893">
        <f>VLOOKUP($A31, Ridership[],10, FALSE)</f>
        <v>314832</v>
      </c>
      <c r="E31" s="893">
        <f>VLOOKUP($A31, VRHsizing[], 11, FALSE)</f>
        <v>38493.666666666664</v>
      </c>
      <c r="F31" s="893">
        <f>VLOOKUP($A31,VRMsizing[[Agency]:[3-Year Average FY25]],10, FALSE)</f>
        <v>545462.33333333337</v>
      </c>
      <c r="G31" s="354">
        <f t="shared" ref="G31:G38" si="50">IFERROR($I$9*(C31/C$39),0) + IFERROR($J$9*(D31/D$39),0) + IFERROR($K$9*(E31/E$39),0) + IFERROR($L$9*(F31/F$39),0)</f>
        <v>6.4937638709782919E-2</v>
      </c>
      <c r="H31" s="354">
        <f t="shared" ref="H31:H38" si="51">IFERROR($M$9*(C31/C$39),0) + IFERROR($N$9*(D31/D$39),0) + IFERROR($O$9*(E31/E$39),0) + IFERROR($P$9*(F31/F$39),0)</f>
        <v>6.9186443129273412E-2</v>
      </c>
      <c r="I31" s="886">
        <f t="shared" ref="I31:I38" si="52">G31/SUM($G$30:$G$38)</f>
        <v>6.4937638709782905E-2</v>
      </c>
      <c r="J31" s="887">
        <f>MIN(0.3*B31,I31*Assumptions!$D$20)</f>
        <v>942035.01436379214</v>
      </c>
      <c r="K31" s="887"/>
      <c r="L31" s="888">
        <f>I31*Assumptions!$D$20-J31</f>
        <v>0</v>
      </c>
      <c r="M31" s="880">
        <f t="shared" ref="M31:M38" si="53">H31/SUM($H$30:$H$38)</f>
        <v>6.9186443129273412E-2</v>
      </c>
      <c r="N31" s="889">
        <f>MIN(0.3*B31,M31*Assumptions!$D$20)</f>
        <v>1003671.4183333239</v>
      </c>
      <c r="O31" s="889"/>
      <c r="P31" s="890">
        <f>M31*Assumptions!$D$20-N31</f>
        <v>0</v>
      </c>
      <c r="R31" s="457">
        <f>VLOOKUP($A31,OpCost[[Agency]:[FY25 Operating Cost Performance]], 5, FALSE)</f>
        <v>5267046</v>
      </c>
      <c r="S31" s="466">
        <f>VLOOKUP($A31,Ridership[[Agency]:[FY25 Ridership]], 5, FALSE)</f>
        <v>332441</v>
      </c>
      <c r="T31" s="466">
        <f>VLOOKUP($A31,VRH[[Agency]:[FY25 Revenue Hours]], 4, FALSE)</f>
        <v>38032</v>
      </c>
      <c r="U31" s="466">
        <f>VLOOKUP($A31,VRM[[Agency]:[FY25 Revenue Miles]], 4, FALSE)</f>
        <v>548622</v>
      </c>
      <c r="V31" s="466">
        <f>VLOOKUP(A31,PMT!$A$2:$D$22, 3, FALSE)</f>
        <v>0</v>
      </c>
      <c r="X31" s="455">
        <f t="shared" si="37"/>
        <v>8.7410864535128319</v>
      </c>
      <c r="Y31" s="455">
        <f t="shared" si="38"/>
        <v>0.60595637797973834</v>
      </c>
      <c r="Z31" s="456">
        <f t="shared" si="39"/>
        <v>138.48985065208245</v>
      </c>
      <c r="AA31" s="456">
        <f t="shared" si="40"/>
        <v>9.6005008913240815</v>
      </c>
      <c r="AB31" s="456">
        <f t="shared" si="41"/>
        <v>15.843551186526332</v>
      </c>
      <c r="AC31" s="499" t="str">
        <f t="shared" ref="AC31:AC38" si="54">IF(V31=0, "", V31/U31)</f>
        <v/>
      </c>
      <c r="AD31" s="499" t="str">
        <f t="shared" ref="AD31:AD38" si="55">IF(V31=0, "",V31/T31)</f>
        <v/>
      </c>
      <c r="AE31" s="466">
        <f t="shared" si="42"/>
        <v>0</v>
      </c>
      <c r="AF31" s="466">
        <f t="shared" si="43"/>
        <v>0</v>
      </c>
      <c r="AG31" s="466">
        <f t="shared" si="44"/>
        <v>0</v>
      </c>
      <c r="AH31" s="466">
        <f t="shared" si="45"/>
        <v>0</v>
      </c>
      <c r="AI31" s="466">
        <f t="shared" si="46"/>
        <v>0</v>
      </c>
      <c r="AJ31" s="466">
        <f t="shared" si="47"/>
        <v>0</v>
      </c>
      <c r="AK31" s="957">
        <f t="shared" si="48"/>
        <v>0</v>
      </c>
      <c r="AL31" s="506">
        <f t="shared" ref="AL31:AL38" si="56">MIN(SUM(AE31:AK31),$AL$5)</f>
        <v>0</v>
      </c>
      <c r="AM31" s="955">
        <f t="shared" si="49"/>
        <v>0</v>
      </c>
      <c r="AN31" s="502">
        <f t="shared" ref="AN31:AN38" si="57">AM31/$AM$39</f>
        <v>0</v>
      </c>
      <c r="AO31" s="457">
        <f t="shared" ref="AO31:AO38" si="58">AN31*$AN$27</f>
        <v>0</v>
      </c>
      <c r="AP31" s="941">
        <f t="shared" ref="AP31:AP38" si="59">AO31+N31</f>
        <v>1003671.4183333239</v>
      </c>
      <c r="AQ31" s="457">
        <v>1077295.1346554393</v>
      </c>
      <c r="AR31" s="501">
        <f t="shared" ref="AR31:AR38" si="60">AP31-AQ31</f>
        <v>-73623.71632211539</v>
      </c>
      <c r="AS31" s="502">
        <f t="shared" ref="AS31:AS38" si="61">AR31/AQ31</f>
        <v>-6.8341268751448608E-2</v>
      </c>
      <c r="AT31" s="938">
        <f t="shared" ref="AT31:AT38" si="62">(AP31-AP48)/AP48</f>
        <v>-5.7519644625807585E-3</v>
      </c>
    </row>
    <row r="32" spans="1:46" ht="14.25" hidden="1">
      <c r="A32" s="472" t="s">
        <v>27</v>
      </c>
      <c r="B32" s="892">
        <f>VLOOKUP($A32,'Allocation Calculations_FY26'!$B$12:$D$49, 3, FALSE)</f>
        <v>361548</v>
      </c>
      <c r="C32" s="892">
        <f>VLOOKUP($A32, OpCost[], 11, FALSE)</f>
        <v>404480</v>
      </c>
      <c r="D32" s="893">
        <f>VLOOKUP($A32, Ridership[],10, FALSE)</f>
        <v>43256</v>
      </c>
      <c r="E32" s="893">
        <f>VLOOKUP($A32, VRHsizing[], 11, FALSE)</f>
        <v>7598</v>
      </c>
      <c r="F32" s="893">
        <f>VLOOKUP($A32,VRMsizing[[Agency]:[3-Year Average FY25]],10, FALSE)</f>
        <v>92125.333333333328</v>
      </c>
      <c r="G32" s="354">
        <f t="shared" si="50"/>
        <v>7.4237366544854244E-3</v>
      </c>
      <c r="H32" s="354">
        <f t="shared" si="51"/>
        <v>8.3410800363763193E-3</v>
      </c>
      <c r="I32" s="886">
        <f t="shared" si="52"/>
        <v>7.4237366544854227E-3</v>
      </c>
      <c r="J32" s="887">
        <f>MIN(0.3*B32,I32*Assumptions!$D$20)</f>
        <v>107694.39734629003</v>
      </c>
      <c r="K32" s="887"/>
      <c r="L32" s="888">
        <f>I32*Assumptions!$D$20-J32</f>
        <v>0</v>
      </c>
      <c r="M32" s="880">
        <f t="shared" si="53"/>
        <v>8.3410800363763193E-3</v>
      </c>
      <c r="N32" s="889">
        <f>MIN(0.3*B32,M32*Assumptions!$D$20)</f>
        <v>108464.4</v>
      </c>
      <c r="O32" s="889"/>
      <c r="P32" s="890">
        <f>M32*Assumptions!$D$20-N32</f>
        <v>12537.681504598266</v>
      </c>
      <c r="R32" s="457">
        <f>VLOOKUP($A32,OpCost[[Agency]:[FY25 Operating Cost Performance]], 5, FALSE)</f>
        <v>361548</v>
      </c>
      <c r="S32" s="466">
        <f>VLOOKUP($A32,Ridership[[Agency]:[FY25 Ridership]], 5, FALSE)</f>
        <v>42876</v>
      </c>
      <c r="T32" s="466">
        <f>VLOOKUP($A32,VRH[[Agency]:[FY25 Revenue Hours]], 4, FALSE)</f>
        <v>7605</v>
      </c>
      <c r="U32" s="466">
        <f>VLOOKUP($A32,VRM[[Agency]:[FY25 Revenue Miles]], 4, FALSE)</f>
        <v>94333</v>
      </c>
      <c r="V32" s="466">
        <f>VLOOKUP(A32,PMT!$A$2:$D$22, 3, FALSE)</f>
        <v>0</v>
      </c>
      <c r="X32" s="455">
        <f t="shared" si="37"/>
        <v>5.6378698224852073</v>
      </c>
      <c r="Y32" s="455">
        <f t="shared" si="38"/>
        <v>0.45451750712900046</v>
      </c>
      <c r="Z32" s="456">
        <f t="shared" si="39"/>
        <v>47.540828402366863</v>
      </c>
      <c r="AA32" s="456">
        <f t="shared" si="40"/>
        <v>3.8326778539853499</v>
      </c>
      <c r="AB32" s="456">
        <f t="shared" si="41"/>
        <v>8.4324097397145259</v>
      </c>
      <c r="AC32" s="499" t="str">
        <f t="shared" si="54"/>
        <v/>
      </c>
      <c r="AD32" s="499" t="str">
        <f t="shared" si="55"/>
        <v/>
      </c>
      <c r="AE32" s="466">
        <f t="shared" si="42"/>
        <v>0</v>
      </c>
      <c r="AF32" s="466">
        <f t="shared" si="43"/>
        <v>0</v>
      </c>
      <c r="AG32" s="466">
        <f t="shared" si="44"/>
        <v>0</v>
      </c>
      <c r="AH32" s="466">
        <f t="shared" si="45"/>
        <v>0</v>
      </c>
      <c r="AI32" s="466">
        <f t="shared" si="46"/>
        <v>0</v>
      </c>
      <c r="AJ32" s="466">
        <f t="shared" si="47"/>
        <v>0</v>
      </c>
      <c r="AK32" s="957">
        <f t="shared" si="48"/>
        <v>0</v>
      </c>
      <c r="AL32" s="506">
        <f t="shared" si="56"/>
        <v>0</v>
      </c>
      <c r="AM32" s="955">
        <f t="shared" si="49"/>
        <v>0</v>
      </c>
      <c r="AN32" s="502">
        <f t="shared" si="57"/>
        <v>0</v>
      </c>
      <c r="AO32" s="457">
        <f t="shared" si="58"/>
        <v>0</v>
      </c>
      <c r="AP32" s="941">
        <f t="shared" si="59"/>
        <v>108464.4</v>
      </c>
      <c r="AQ32" s="457">
        <f>VLOOKUP(A32,'Allocation Calculations_FY26'!$B$12:$CH$49,85, FALSE)</f>
        <v>108464.4</v>
      </c>
      <c r="AR32" s="501">
        <f t="shared" si="60"/>
        <v>0</v>
      </c>
      <c r="AS32" s="502">
        <f t="shared" si="61"/>
        <v>0</v>
      </c>
      <c r="AT32" s="938">
        <f t="shared" si="62"/>
        <v>-9.0612290069999726E-2</v>
      </c>
    </row>
    <row r="33" spans="1:46" ht="14.25" hidden="1">
      <c r="A33" s="472" t="s">
        <v>56</v>
      </c>
      <c r="B33" s="892">
        <v>12808994</v>
      </c>
      <c r="C33" s="892">
        <f>VLOOKUP($A33, OpCost[], 11, FALSE)</f>
        <v>11610404.333333334</v>
      </c>
      <c r="D33" s="893">
        <f>VLOOKUP($A33, Ridership[],10, FALSE)</f>
        <v>4031679.6666666665</v>
      </c>
      <c r="E33" s="893">
        <f>VLOOKUP($A33, VRHsizing[], 11, FALSE)</f>
        <v>97450.966666666674</v>
      </c>
      <c r="F33" s="893">
        <f>VLOOKUP($A33,VRMsizing[[Agency]:[3-Year Average FY25]],10, FALSE)</f>
        <v>1072704</v>
      </c>
      <c r="G33" s="354">
        <f t="shared" si="50"/>
        <v>0.25158418479428274</v>
      </c>
      <c r="H33" s="354">
        <f t="shared" si="51"/>
        <v>0.22823736876180645</v>
      </c>
      <c r="I33" s="886">
        <f t="shared" si="52"/>
        <v>0.25158418479428268</v>
      </c>
      <c r="J33" s="887">
        <f>MIN(0.3*B33,I33*Assumptions!$D$20)</f>
        <v>3649672.4526061434</v>
      </c>
      <c r="K33" s="887"/>
      <c r="L33" s="888">
        <f>I33*Assumptions!$D$20-J33</f>
        <v>0</v>
      </c>
      <c r="M33" s="880">
        <f t="shared" si="53"/>
        <v>0.22823736876180645</v>
      </c>
      <c r="N33" s="889">
        <f>MIN(0.3*B33,M33*Assumptions!$D$20)</f>
        <v>3310985.6969205043</v>
      </c>
      <c r="O33" s="889"/>
      <c r="P33" s="890">
        <f>M33*Assumptions!$D$20-N33</f>
        <v>0</v>
      </c>
      <c r="R33" s="457">
        <f>VLOOKUP($A33,OpCost[[Agency]:[FY25 Operating Cost Performance]], 5, FALSE)</f>
        <v>12808994</v>
      </c>
      <c r="S33" s="466">
        <f>VLOOKUP($A33,Ridership[[Agency]:[FY25 Ridership]], 5, FALSE)</f>
        <v>3791431</v>
      </c>
      <c r="T33" s="466">
        <f>VLOOKUP($A33,VRH[[Agency]:[FY25 Revenue Hours]], 4, FALSE)</f>
        <v>99331.900000000009</v>
      </c>
      <c r="U33" s="466">
        <f>VLOOKUP($A33,VRM[[Agency]:[FY25 Revenue Miles]], 4, FALSE)</f>
        <v>970481</v>
      </c>
      <c r="V33" s="466">
        <f>VLOOKUP(A33,PMT!$A$2:$D$22, 3, FALSE)</f>
        <v>7076692</v>
      </c>
      <c r="X33" s="455">
        <f t="shared" si="37"/>
        <v>38.169319221720308</v>
      </c>
      <c r="Y33" s="455">
        <f t="shared" si="38"/>
        <v>3.9067544856622645</v>
      </c>
      <c r="Z33" s="456">
        <f t="shared" si="39"/>
        <v>128.95146473590054</v>
      </c>
      <c r="AA33" s="456">
        <f t="shared" si="40"/>
        <v>13.198603579049976</v>
      </c>
      <c r="AB33" s="456">
        <f t="shared" si="41"/>
        <v>3.3784062007194646</v>
      </c>
      <c r="AC33" s="499">
        <f t="shared" si="54"/>
        <v>7.2919428613234052</v>
      </c>
      <c r="AD33" s="499">
        <f t="shared" si="55"/>
        <v>71.2428937732994</v>
      </c>
      <c r="AE33" s="466">
        <f t="shared" si="42"/>
        <v>1</v>
      </c>
      <c r="AF33" s="466">
        <f t="shared" si="43"/>
        <v>1</v>
      </c>
      <c r="AG33" s="466">
        <f t="shared" si="44"/>
        <v>0</v>
      </c>
      <c r="AH33" s="466">
        <f t="shared" si="45"/>
        <v>0</v>
      </c>
      <c r="AI33" s="466">
        <f t="shared" si="46"/>
        <v>0</v>
      </c>
      <c r="AJ33" s="466">
        <f t="shared" si="47"/>
        <v>1</v>
      </c>
      <c r="AK33" s="957">
        <f t="shared" si="48"/>
        <v>0</v>
      </c>
      <c r="AL33" s="506">
        <f t="shared" si="56"/>
        <v>3</v>
      </c>
      <c r="AM33" s="955">
        <f t="shared" si="49"/>
        <v>0.68471210628541934</v>
      </c>
      <c r="AN33" s="502">
        <f t="shared" si="57"/>
        <v>0.38716199978829491</v>
      </c>
      <c r="AO33" s="457">
        <f t="shared" si="58"/>
        <v>302983.50719923951</v>
      </c>
      <c r="AP33" s="941">
        <f t="shared" si="59"/>
        <v>3613969.2041197438</v>
      </c>
      <c r="AQ33" s="457">
        <v>3842698.1999999997</v>
      </c>
      <c r="AR33" s="501">
        <f t="shared" si="60"/>
        <v>-228728.99588025594</v>
      </c>
      <c r="AS33" s="502">
        <f t="shared" si="61"/>
        <v>-5.9523018456212863E-2</v>
      </c>
      <c r="AT33" s="938">
        <f t="shared" si="62"/>
        <v>2.1645382817910759E-3</v>
      </c>
    </row>
    <row r="34" spans="1:46" ht="14.25" hidden="1">
      <c r="A34" s="472" t="s">
        <v>26</v>
      </c>
      <c r="B34" s="892">
        <f>VLOOKUP($A34,'Allocation Calculations_FY26'!$B$12:$D$49, 3, FALSE)</f>
        <v>14466572</v>
      </c>
      <c r="C34" s="892">
        <f>VLOOKUP($A34, OpCost[], 11, FALSE)</f>
        <v>14062752.666666666</v>
      </c>
      <c r="D34" s="893">
        <f>VLOOKUP($A34, Ridership[],10, FALSE)</f>
        <v>1424552.3333333333</v>
      </c>
      <c r="E34" s="893">
        <f>VLOOKUP($A34, VRHsizing[], 11, FALSE)</f>
        <v>111894.66666666667</v>
      </c>
      <c r="F34" s="893">
        <f>VLOOKUP($A34,VRMsizing[[Agency]:[3-Year Average FY25]],10, FALSE)</f>
        <v>1413062.6666666667</v>
      </c>
      <c r="G34" s="354">
        <f t="shared" si="50"/>
        <v>0.20263491270510881</v>
      </c>
      <c r="H34" s="354">
        <f t="shared" si="51"/>
        <v>0.20875397859406133</v>
      </c>
      <c r="I34" s="886">
        <f t="shared" si="52"/>
        <v>0.20263491270510875</v>
      </c>
      <c r="J34" s="887">
        <f>MIN(0.3*B34,I34*Assumptions!$D$20)</f>
        <v>2939576.9032175369</v>
      </c>
      <c r="K34" s="887"/>
      <c r="L34" s="888">
        <f>I34*Assumptions!$D$20-J34</f>
        <v>0</v>
      </c>
      <c r="M34" s="880">
        <f t="shared" si="53"/>
        <v>0.20875397859406133</v>
      </c>
      <c r="N34" s="889">
        <f>MIN(0.3*B34,M34*Assumptions!$D$20)</f>
        <v>3028344.7493715123</v>
      </c>
      <c r="O34" s="889"/>
      <c r="P34" s="890">
        <f>M34*Assumptions!$D$20-N34</f>
        <v>0</v>
      </c>
      <c r="R34" s="457">
        <f>VLOOKUP($A34,OpCost[[Agency]:[FY25 Operating Cost Performance]], 5, FALSE)</f>
        <v>14481448</v>
      </c>
      <c r="S34" s="466">
        <f>VLOOKUP($A34,Ridership[[Agency]:[FY25 Ridership]], 5, FALSE)</f>
        <v>1476869</v>
      </c>
      <c r="T34" s="466">
        <f>VLOOKUP($A34,VRH[[Agency]:[FY25 Revenue Hours]], 4, FALSE)</f>
        <v>128069</v>
      </c>
      <c r="U34" s="466">
        <f>VLOOKUP($A34,VRM[[Agency]:[FY25 Revenue Miles]], 4, FALSE)</f>
        <v>1242786</v>
      </c>
      <c r="V34" s="466">
        <f>VLOOKUP(A34,PMT!$A$2:$D$22, 3, FALSE)</f>
        <v>0</v>
      </c>
      <c r="X34" s="455">
        <f t="shared" si="37"/>
        <v>11.531822689331532</v>
      </c>
      <c r="Y34" s="455">
        <f t="shared" si="38"/>
        <v>1.1883534252880221</v>
      </c>
      <c r="Z34" s="456">
        <f t="shared" si="39"/>
        <v>113.07535781492788</v>
      </c>
      <c r="AA34" s="456">
        <f t="shared" si="40"/>
        <v>11.652406769950741</v>
      </c>
      <c r="AB34" s="456">
        <f t="shared" si="41"/>
        <v>9.8055061078538444</v>
      </c>
      <c r="AC34" s="499" t="str">
        <f t="shared" si="54"/>
        <v/>
      </c>
      <c r="AD34" s="499" t="str">
        <f t="shared" si="55"/>
        <v/>
      </c>
      <c r="AE34" s="466">
        <f t="shared" si="42"/>
        <v>1</v>
      </c>
      <c r="AF34" s="466">
        <f t="shared" si="43"/>
        <v>1</v>
      </c>
      <c r="AG34" s="466">
        <f t="shared" si="44"/>
        <v>0</v>
      </c>
      <c r="AH34" s="466">
        <f t="shared" si="45"/>
        <v>0</v>
      </c>
      <c r="AI34" s="466">
        <f t="shared" si="46"/>
        <v>0</v>
      </c>
      <c r="AJ34" s="466">
        <f t="shared" si="47"/>
        <v>0</v>
      </c>
      <c r="AK34" s="957">
        <f t="shared" si="48"/>
        <v>0</v>
      </c>
      <c r="AL34" s="506">
        <f t="shared" si="56"/>
        <v>2</v>
      </c>
      <c r="AM34" s="955">
        <f t="shared" si="49"/>
        <v>0.41750795718812267</v>
      </c>
      <c r="AN34" s="502">
        <f t="shared" si="57"/>
        <v>0.2360747154149179</v>
      </c>
      <c r="AO34" s="457">
        <f t="shared" si="58"/>
        <v>184746.29554704731</v>
      </c>
      <c r="AP34" s="941">
        <f t="shared" si="59"/>
        <v>3213091.0449185595</v>
      </c>
      <c r="AQ34" s="457">
        <f>VLOOKUP(A34,'Allocation Calculations_FY26'!$B$12:$CH$49,85, FALSE)</f>
        <v>3555341.5023277341</v>
      </c>
      <c r="AR34" s="501">
        <f t="shared" si="60"/>
        <v>-342250.45740917465</v>
      </c>
      <c r="AS34" s="502">
        <f t="shared" si="61"/>
        <v>-9.626373646106802E-2</v>
      </c>
      <c r="AT34" s="938">
        <f t="shared" si="62"/>
        <v>-2.3129172704393984E-2</v>
      </c>
    </row>
    <row r="35" spans="1:46" ht="14.25" hidden="1">
      <c r="A35" s="472" t="s">
        <v>28</v>
      </c>
      <c r="B35" s="892">
        <f>VLOOKUP($A35,'Allocation Calculations_FY26'!$B$12:$D$49, 3, FALSE)</f>
        <v>7144704</v>
      </c>
      <c r="C35" s="892">
        <f>VLOOKUP($A35, OpCost[], 11, FALSE)</f>
        <v>6658310</v>
      </c>
      <c r="D35" s="893">
        <f>VLOOKUP($A35, Ridership[],10, FALSE)</f>
        <v>1785739</v>
      </c>
      <c r="E35" s="893">
        <f>VLOOKUP($A35, VRHsizing[], 11, FALSE)</f>
        <v>74388</v>
      </c>
      <c r="F35" s="893">
        <f>VLOOKUP($A35,VRMsizing[[Agency]:[3-Year Average FY25]],10, FALSE)</f>
        <v>761865.33333333337</v>
      </c>
      <c r="G35" s="354">
        <f t="shared" si="50"/>
        <v>0.13414598989612977</v>
      </c>
      <c r="H35" s="354">
        <f t="shared" si="51"/>
        <v>0.12869351259158329</v>
      </c>
      <c r="I35" s="886">
        <f t="shared" si="52"/>
        <v>0.13414598989612975</v>
      </c>
      <c r="J35" s="887">
        <f>MIN(0.3*B35,I35*Assumptions!$D$20)</f>
        <v>1946024.2477158001</v>
      </c>
      <c r="K35" s="887"/>
      <c r="L35" s="888">
        <f>I35*Assumptions!$D$20-J35</f>
        <v>0</v>
      </c>
      <c r="M35" s="880">
        <f t="shared" si="53"/>
        <v>0.12869351259158329</v>
      </c>
      <c r="N35" s="889">
        <f>MIN(0.3*B35,M35*Assumptions!$D$20)</f>
        <v>1866926.4449936808</v>
      </c>
      <c r="O35" s="889"/>
      <c r="P35" s="890">
        <f>M35*Assumptions!$D$20-N35</f>
        <v>0</v>
      </c>
      <c r="R35" s="457">
        <f>VLOOKUP($A35,OpCost[[Agency]:[FY25 Operating Cost Performance]], 5, FALSE)</f>
        <v>7435602</v>
      </c>
      <c r="S35" s="466">
        <f>VLOOKUP($A35,Ridership[[Agency]:[FY25 Ridership]], 5, FALSE)</f>
        <v>1877126</v>
      </c>
      <c r="T35" s="466">
        <f>VLOOKUP($A35,VRH[[Agency]:[FY25 Revenue Hours]], 4, FALSE)</f>
        <v>76614</v>
      </c>
      <c r="U35" s="466">
        <f>VLOOKUP($A35,VRM[[Agency]:[FY25 Revenue Miles]], 4, FALSE)</f>
        <v>723645</v>
      </c>
      <c r="V35" s="466">
        <f>VLOOKUP(A35,PMT!$A$2:$D$22, 3, FALSE)</f>
        <v>3309985</v>
      </c>
      <c r="X35" s="455">
        <f t="shared" si="37"/>
        <v>24.501083352912001</v>
      </c>
      <c r="Y35" s="455">
        <f t="shared" si="38"/>
        <v>2.5939873833164051</v>
      </c>
      <c r="Z35" s="456">
        <f t="shared" si="39"/>
        <v>97.052784086459397</v>
      </c>
      <c r="AA35" s="456">
        <f t="shared" si="40"/>
        <v>10.275206765748399</v>
      </c>
      <c r="AB35" s="456">
        <f t="shared" si="41"/>
        <v>3.9611629693478223</v>
      </c>
      <c r="AC35" s="499">
        <f t="shared" si="54"/>
        <v>4.5740452846354218</v>
      </c>
      <c r="AD35" s="499">
        <f t="shared" si="55"/>
        <v>43.203396246116895</v>
      </c>
      <c r="AE35" s="466">
        <f t="shared" si="42"/>
        <v>1</v>
      </c>
      <c r="AF35" s="466">
        <f t="shared" si="43"/>
        <v>1</v>
      </c>
      <c r="AG35" s="466">
        <f t="shared" si="44"/>
        <v>0</v>
      </c>
      <c r="AH35" s="466">
        <f t="shared" si="45"/>
        <v>0</v>
      </c>
      <c r="AI35" s="466">
        <f t="shared" si="46"/>
        <v>0</v>
      </c>
      <c r="AJ35" s="466">
        <f t="shared" si="47"/>
        <v>1</v>
      </c>
      <c r="AK35" s="957">
        <f t="shared" si="48"/>
        <v>0</v>
      </c>
      <c r="AL35" s="506">
        <f t="shared" si="56"/>
        <v>3</v>
      </c>
      <c r="AM35" s="955">
        <f t="shared" si="49"/>
        <v>0.38608053777474988</v>
      </c>
      <c r="AN35" s="502">
        <f t="shared" si="57"/>
        <v>0.21830446944354767</v>
      </c>
      <c r="AO35" s="457">
        <f t="shared" si="58"/>
        <v>170839.73588689731</v>
      </c>
      <c r="AP35" s="941">
        <f t="shared" si="59"/>
        <v>2037766.1808805782</v>
      </c>
      <c r="AQ35" s="457">
        <f>VLOOKUP(A35,'Allocation Calculations_FY26'!$B$12:$CH$49,85, FALSE)</f>
        <v>2230680.6</v>
      </c>
      <c r="AR35" s="501">
        <f t="shared" si="60"/>
        <v>-192914.41911942186</v>
      </c>
      <c r="AS35" s="502">
        <f t="shared" si="61"/>
        <v>-8.6482313568075078E-2</v>
      </c>
      <c r="AT35" s="938">
        <f t="shared" si="62"/>
        <v>-1.2711269050887946E-2</v>
      </c>
    </row>
    <row r="36" spans="1:46" ht="14.25" hidden="1">
      <c r="A36" s="472" t="s">
        <v>61</v>
      </c>
      <c r="B36" s="892">
        <f>VLOOKUP($A36,'Allocation Calculations_FY26'!$B$12:$D$49, 3, FALSE)</f>
        <v>7769877</v>
      </c>
      <c r="C36" s="892">
        <f>VLOOKUP($A36, OpCost[], 11, FALSE)</f>
        <v>7714945</v>
      </c>
      <c r="D36" s="893">
        <f>VLOOKUP($A36, Ridership[],10, FALSE)</f>
        <v>1552360.6666666667</v>
      </c>
      <c r="E36" s="893">
        <f>VLOOKUP($A36, VRHsizing[], 11, FALSE)</f>
        <v>73074</v>
      </c>
      <c r="F36" s="893">
        <f>VLOOKUP($A36,VRMsizing[[Agency]:[3-Year Average FY25]],10, FALSE)</f>
        <v>1116432.3333333333</v>
      </c>
      <c r="G36" s="354">
        <f t="shared" si="50"/>
        <v>0.14092633251286185</v>
      </c>
      <c r="H36" s="354">
        <f t="shared" si="51"/>
        <v>0.14012050418085642</v>
      </c>
      <c r="I36" s="886">
        <f t="shared" si="52"/>
        <v>0.14092633251286182</v>
      </c>
      <c r="J36" s="887">
        <f>MIN(0.3*B36,I36*Assumptions!$D$20)</f>
        <v>2044385.0794499293</v>
      </c>
      <c r="K36" s="887"/>
      <c r="L36" s="888">
        <f>I36*Assumptions!$D$20-J36</f>
        <v>0</v>
      </c>
      <c r="M36" s="880">
        <f t="shared" si="53"/>
        <v>0.14012050418085642</v>
      </c>
      <c r="N36" s="889">
        <f>MIN(0.3*B36,M36*Assumptions!$D$20)</f>
        <v>2032695.1178283175</v>
      </c>
      <c r="O36" s="889"/>
      <c r="P36" s="890">
        <f>M36*Assumptions!$D$20-N36</f>
        <v>0</v>
      </c>
      <c r="R36" s="457">
        <f>VLOOKUP($A36,OpCost[[Agency]:[FY25 Operating Cost Performance]], 5, FALSE)</f>
        <v>7769877</v>
      </c>
      <c r="S36" s="466">
        <f>VLOOKUP($A36,Ridership[[Agency]:[FY25 Ridership]], 5, FALSE)</f>
        <v>1423486</v>
      </c>
      <c r="T36" s="466">
        <f>VLOOKUP($A36,VRH[[Agency]:[FY25 Revenue Hours]], 4, FALSE)</f>
        <v>68607</v>
      </c>
      <c r="U36" s="466">
        <f>VLOOKUP($A36,VRM[[Agency]:[FY25 Revenue Miles]], 4, FALSE)</f>
        <v>1099660</v>
      </c>
      <c r="V36" s="466">
        <f>VLOOKUP(A36,PMT!$A$2:$D$22, 3, FALSE)</f>
        <v>4107259</v>
      </c>
      <c r="X36" s="455">
        <f t="shared" si="37"/>
        <v>20.748407596892445</v>
      </c>
      <c r="Y36" s="455">
        <f t="shared" si="38"/>
        <v>1.2944782932906536</v>
      </c>
      <c r="Z36" s="456">
        <f t="shared" si="39"/>
        <v>113.25195679741134</v>
      </c>
      <c r="AA36" s="456">
        <f t="shared" si="40"/>
        <v>7.065708491715621</v>
      </c>
      <c r="AB36" s="456">
        <f t="shared" si="41"/>
        <v>5.4583445148037981</v>
      </c>
      <c r="AC36" s="499">
        <f t="shared" si="54"/>
        <v>3.7350262808504446</v>
      </c>
      <c r="AD36" s="499">
        <f t="shared" si="55"/>
        <v>59.866471351319838</v>
      </c>
      <c r="AE36" s="466">
        <f t="shared" si="42"/>
        <v>1</v>
      </c>
      <c r="AF36" s="466">
        <f t="shared" si="43"/>
        <v>1</v>
      </c>
      <c r="AG36" s="466">
        <f t="shared" si="44"/>
        <v>0</v>
      </c>
      <c r="AH36" s="466">
        <f t="shared" si="45"/>
        <v>0</v>
      </c>
      <c r="AI36" s="466">
        <f t="shared" si="46"/>
        <v>0</v>
      </c>
      <c r="AJ36" s="466">
        <f t="shared" si="47"/>
        <v>0</v>
      </c>
      <c r="AK36" s="957">
        <f t="shared" si="48"/>
        <v>0</v>
      </c>
      <c r="AL36" s="506">
        <f t="shared" si="56"/>
        <v>2</v>
      </c>
      <c r="AM36" s="955">
        <f t="shared" si="49"/>
        <v>0.28024100836171284</v>
      </c>
      <c r="AN36" s="502">
        <f t="shared" si="57"/>
        <v>0.15845881535323958</v>
      </c>
      <c r="AO36" s="457">
        <f t="shared" si="58"/>
        <v>124005.99141603238</v>
      </c>
      <c r="AP36" s="941">
        <f t="shared" si="59"/>
        <v>2156701.1092443499</v>
      </c>
      <c r="AQ36" s="457">
        <f>VLOOKUP(A36,'Allocation Calculations_FY26'!$B$12:$CH$49,85, FALSE)</f>
        <v>2231194.4929412054</v>
      </c>
      <c r="AR36" s="501">
        <f t="shared" si="60"/>
        <v>-74493.383696855512</v>
      </c>
      <c r="AS36" s="502">
        <f t="shared" si="61"/>
        <v>-3.3387221030048722E-2</v>
      </c>
      <c r="AT36" s="938">
        <f t="shared" si="62"/>
        <v>-4.0676981905799728E-2</v>
      </c>
    </row>
    <row r="37" spans="1:46" ht="14.25" hidden="1">
      <c r="A37" s="472" t="s">
        <v>38</v>
      </c>
      <c r="B37" s="892">
        <f>VLOOKUP($A37,'Allocation Calculations_FY26'!$B$12:$D$49, 3, FALSE)</f>
        <v>8378754</v>
      </c>
      <c r="C37" s="892">
        <f>VLOOKUP($A37, OpCost[], 11, FALSE)</f>
        <v>8458077</v>
      </c>
      <c r="D37" s="893">
        <f>VLOOKUP($A37, Ridership[],10, FALSE)</f>
        <v>603028</v>
      </c>
      <c r="E37" s="893">
        <f>VLOOKUP($A37, VRHsizing[], 11, FALSE)</f>
        <v>77979.42</v>
      </c>
      <c r="F37" s="893">
        <f>VLOOKUP($A37,VRMsizing[[Agency]:[3-Year Average FY25]],10, FALSE)</f>
        <v>1163824.99</v>
      </c>
      <c r="G37" s="354">
        <f t="shared" si="50"/>
        <v>0.12069482113363289</v>
      </c>
      <c r="H37" s="354">
        <f t="shared" si="51"/>
        <v>0.13005397116897571</v>
      </c>
      <c r="I37" s="886">
        <f t="shared" si="52"/>
        <v>0.12069482113363286</v>
      </c>
      <c r="J37" s="887">
        <f>MIN(0.3*B37,I37*Assumptions!$D$20)</f>
        <v>1750891.313871078</v>
      </c>
      <c r="K37" s="887"/>
      <c r="L37" s="888">
        <f>I37*Assumptions!$D$20-J37</f>
        <v>0</v>
      </c>
      <c r="M37" s="880">
        <f t="shared" si="53"/>
        <v>0.13005397116897571</v>
      </c>
      <c r="N37" s="889">
        <f>MIN(0.3*B37,M37*Assumptions!$D$20)</f>
        <v>1886662.2968195055</v>
      </c>
      <c r="O37" s="889"/>
      <c r="P37" s="890">
        <f>M37*Assumptions!$D$20-N37</f>
        <v>0</v>
      </c>
      <c r="R37" s="457">
        <f>VLOOKUP($A37,OpCost[[Agency]:[FY25 Operating Cost Performance]], 5, FALSE)</f>
        <v>9003000</v>
      </c>
      <c r="S37" s="466">
        <f>VLOOKUP($A37,Ridership[[Agency]:[FY25 Ridership]], 5, FALSE)</f>
        <v>585649</v>
      </c>
      <c r="T37" s="466">
        <f>VLOOKUP($A37,VRH[[Agency]:[FY25 Revenue Hours]], 4, FALSE)</f>
        <v>80007.260000000009</v>
      </c>
      <c r="U37" s="466">
        <f>VLOOKUP($A37,VRM[[Agency]:[FY25 Revenue Miles]], 4, FALSE)</f>
        <v>1150861</v>
      </c>
      <c r="V37" s="466">
        <f>VLOOKUP(A37,PMT!$A$2:$D$22, 3, FALSE)</f>
        <v>2182920</v>
      </c>
      <c r="X37" s="455">
        <f t="shared" si="37"/>
        <v>7.3199482146995152</v>
      </c>
      <c r="Y37" s="455">
        <f t="shared" si="38"/>
        <v>0.50887900450184687</v>
      </c>
      <c r="Z37" s="456">
        <f t="shared" si="39"/>
        <v>112.5272881486005</v>
      </c>
      <c r="AA37" s="456">
        <f t="shared" si="40"/>
        <v>7.8228387268314767</v>
      </c>
      <c r="AB37" s="456">
        <f t="shared" si="41"/>
        <v>15.372689102175535</v>
      </c>
      <c r="AC37" s="499">
        <f t="shared" si="54"/>
        <v>1.8967711999972194</v>
      </c>
      <c r="AD37" s="499">
        <f t="shared" si="55"/>
        <v>27.284023974824283</v>
      </c>
      <c r="AE37" s="466">
        <f t="shared" si="42"/>
        <v>0</v>
      </c>
      <c r="AF37" s="466">
        <f t="shared" si="43"/>
        <v>0</v>
      </c>
      <c r="AG37" s="466">
        <f t="shared" si="44"/>
        <v>0</v>
      </c>
      <c r="AH37" s="466">
        <f t="shared" si="45"/>
        <v>0</v>
      </c>
      <c r="AI37" s="466">
        <f t="shared" si="46"/>
        <v>0</v>
      </c>
      <c r="AJ37" s="466">
        <f t="shared" si="47"/>
        <v>0</v>
      </c>
      <c r="AK37" s="957">
        <f t="shared" si="48"/>
        <v>0</v>
      </c>
      <c r="AL37" s="506">
        <f t="shared" si="56"/>
        <v>0</v>
      </c>
      <c r="AM37" s="955">
        <f t="shared" si="49"/>
        <v>0</v>
      </c>
      <c r="AN37" s="502">
        <f t="shared" si="57"/>
        <v>0</v>
      </c>
      <c r="AO37" s="457">
        <f t="shared" si="58"/>
        <v>0</v>
      </c>
      <c r="AP37" s="941">
        <f t="shared" si="59"/>
        <v>1886662.2968195055</v>
      </c>
      <c r="AQ37" s="457">
        <f>VLOOKUP(A37,'Allocation Calculations_FY26'!$B$12:$CH$49,85, FALSE)</f>
        <v>1666636.1229349524</v>
      </c>
      <c r="AR37" s="501">
        <f t="shared" si="60"/>
        <v>220026.17388455314</v>
      </c>
      <c r="AS37" s="502">
        <f t="shared" si="61"/>
        <v>0.13201812372642341</v>
      </c>
      <c r="AT37" s="938">
        <f t="shared" si="62"/>
        <v>1.7835251403238244E-3</v>
      </c>
    </row>
    <row r="38" spans="1:46" ht="15" hidden="1" thickBot="1">
      <c r="A38" s="472" t="s">
        <v>25</v>
      </c>
      <c r="B38" s="892">
        <f>VLOOKUP($A38,'Allocation Calculations_FY26'!$B$12:$D$49, 3, FALSE)</f>
        <v>2428469</v>
      </c>
      <c r="C38" s="892">
        <f>VLOOKUP($A38, OpCost[], 11, FALSE)</f>
        <v>2978939</v>
      </c>
      <c r="D38" s="893">
        <f>VLOOKUP($A38, Ridership[],10, FALSE)</f>
        <v>208481</v>
      </c>
      <c r="E38" s="893">
        <f>VLOOKUP($A38, VRHsizing[], 11, FALSE)</f>
        <v>37084.21</v>
      </c>
      <c r="F38" s="893">
        <f>VLOOKUP($A38,VRMsizing[[Agency]:[3-Year Average FY25]],10, FALSE)</f>
        <v>718487.31333333335</v>
      </c>
      <c r="G38" s="354">
        <f t="shared" si="50"/>
        <v>4.8464377976835733E-2</v>
      </c>
      <c r="H38" s="354">
        <f t="shared" si="51"/>
        <v>5.4834961537381599E-2</v>
      </c>
      <c r="I38" s="886">
        <f t="shared" si="52"/>
        <v>4.8464377976835719E-2</v>
      </c>
      <c r="J38" s="887">
        <f>MIN(0.3*B38,I38*Assumptions!$D$20)</f>
        <v>703061.30482478882</v>
      </c>
      <c r="K38" s="887"/>
      <c r="L38" s="888">
        <f>I38*Assumptions!$D$20-J38</f>
        <v>0</v>
      </c>
      <c r="M38" s="880">
        <f t="shared" si="53"/>
        <v>5.4834961537381599E-2</v>
      </c>
      <c r="N38" s="889">
        <f>MIN(0.3*B38,M38*Assumptions!$D$20)</f>
        <v>728540.7</v>
      </c>
      <c r="O38" s="889"/>
      <c r="P38" s="890">
        <f>M38*Assumptions!$D$20-N38</f>
        <v>66937.158540045493</v>
      </c>
      <c r="R38" s="457">
        <f>VLOOKUP($A38,OpCost[[Agency]:[FY25 Operating Cost Performance]], 5, FALSE)</f>
        <v>3366722</v>
      </c>
      <c r="S38" s="466">
        <f>VLOOKUP($A38,Ridership[[Agency]:[FY25 Ridership]], 5, FALSE)</f>
        <v>212642</v>
      </c>
      <c r="T38" s="466">
        <f>VLOOKUP($A38,VRH[[Agency]:[FY25 Revenue Hours]], 4, FALSE)</f>
        <v>36534.629999999997</v>
      </c>
      <c r="U38" s="466">
        <f>VLOOKUP($A38,VRM[[Agency]:[FY25 Revenue Miles]], 4, FALSE)</f>
        <v>740596</v>
      </c>
      <c r="V38" s="466">
        <f>VLOOKUP(A38,PMT!$A$2:$D$22, 3, FALSE)</f>
        <v>0</v>
      </c>
      <c r="X38" s="476">
        <f t="shared" si="37"/>
        <v>5.8202861230563991</v>
      </c>
      <c r="Y38" s="476">
        <f t="shared" si="38"/>
        <v>0.28712280379586169</v>
      </c>
      <c r="Z38" s="477">
        <f t="shared" si="39"/>
        <v>92.151528563447897</v>
      </c>
      <c r="AA38" s="477">
        <f t="shared" si="40"/>
        <v>4.5459629811665199</v>
      </c>
      <c r="AB38" s="477">
        <f t="shared" si="41"/>
        <v>15.832817599533488</v>
      </c>
      <c r="AC38" s="500" t="str">
        <f t="shared" si="54"/>
        <v/>
      </c>
      <c r="AD38" s="500" t="str">
        <f t="shared" si="55"/>
        <v/>
      </c>
      <c r="AE38" s="478">
        <f t="shared" si="42"/>
        <v>0</v>
      </c>
      <c r="AF38" s="478">
        <f t="shared" si="43"/>
        <v>0</v>
      </c>
      <c r="AG38" s="478">
        <f t="shared" si="44"/>
        <v>0</v>
      </c>
      <c r="AH38" s="478">
        <f t="shared" si="45"/>
        <v>0</v>
      </c>
      <c r="AI38" s="478">
        <f t="shared" si="46"/>
        <v>0</v>
      </c>
      <c r="AJ38" s="478">
        <f t="shared" si="47"/>
        <v>0</v>
      </c>
      <c r="AK38" s="958">
        <f t="shared" si="48"/>
        <v>0</v>
      </c>
      <c r="AL38" s="506">
        <f t="shared" si="56"/>
        <v>0</v>
      </c>
      <c r="AM38" s="956">
        <f t="shared" si="49"/>
        <v>0</v>
      </c>
      <c r="AN38" s="510">
        <f t="shared" si="57"/>
        <v>0</v>
      </c>
      <c r="AO38" s="511">
        <f t="shared" si="58"/>
        <v>0</v>
      </c>
      <c r="AP38" s="943">
        <f t="shared" si="59"/>
        <v>728540.7</v>
      </c>
      <c r="AQ38" s="511">
        <f>VLOOKUP(A38,'Allocation Calculations_FY26'!$B$12:$CH$49,85, FALSE)</f>
        <v>618200.54053036741</v>
      </c>
      <c r="AR38" s="512">
        <f t="shared" si="60"/>
        <v>110340.15946963255</v>
      </c>
      <c r="AS38" s="921">
        <f t="shared" si="61"/>
        <v>0.17848602878116118</v>
      </c>
      <c r="AT38" s="939">
        <f t="shared" si="62"/>
        <v>0.17391407332355585</v>
      </c>
    </row>
    <row r="39" spans="1:46" ht="15.75" hidden="1" thickTop="1" thickBot="1">
      <c r="A39" s="302"/>
      <c r="B39" s="892">
        <f>SUM(B30:B38)</f>
        <v>60807588</v>
      </c>
      <c r="C39" s="892">
        <f t="shared" ref="C39:F39" si="63">SUM(C30:C38)</f>
        <v>58587871.666666664</v>
      </c>
      <c r="D39" s="892">
        <f t="shared" si="63"/>
        <v>10120062.666666666</v>
      </c>
      <c r="E39" s="892">
        <f t="shared" si="63"/>
        <v>538895.26333333331</v>
      </c>
      <c r="F39" s="892">
        <f t="shared" si="63"/>
        <v>7199419.6366666667</v>
      </c>
      <c r="G39" s="894">
        <f>SUM(G30:G38)</f>
        <v>1.0000000000000002</v>
      </c>
      <c r="H39" s="894">
        <f>SUM(H30:H38)</f>
        <v>1</v>
      </c>
      <c r="I39" s="886">
        <f>SUM(I30:I38)</f>
        <v>0.99999999999999967</v>
      </c>
      <c r="J39" s="887">
        <f>MIN(0.3*LargeUrban!B39,LargeUrban!I39*Assumptions!$D$11)</f>
        <v>3679773.8610303449</v>
      </c>
      <c r="K39" s="887"/>
      <c r="L39" s="888">
        <f>SUM(L30:L38)</f>
        <v>0</v>
      </c>
      <c r="M39" s="880">
        <f>SUM(M30:M38)</f>
        <v>1</v>
      </c>
      <c r="N39" s="889">
        <f>MIN(0.3*B39,M39*Assumptions!$C$20)</f>
        <v>18242276.399999999</v>
      </c>
      <c r="O39" s="889"/>
      <c r="P39" s="890">
        <f>SUM(P30:P38)</f>
        <v>79474.840044643759</v>
      </c>
      <c r="R39" s="453">
        <f>SUM(R30:R38)</f>
        <v>62874890</v>
      </c>
      <c r="S39" s="453">
        <f t="shared" ref="S39:U39" si="64">SUM(S30:S38)</f>
        <v>9923826</v>
      </c>
      <c r="T39" s="453">
        <f t="shared" si="64"/>
        <v>560068.79</v>
      </c>
      <c r="U39" s="453">
        <f t="shared" si="64"/>
        <v>6797775</v>
      </c>
      <c r="V39" s="453">
        <f>SUM(V30:V38)</f>
        <v>16676856</v>
      </c>
      <c r="W39" s="461" t="s">
        <v>122</v>
      </c>
      <c r="X39" s="474">
        <f t="shared" si="37"/>
        <v>17.718941275053016</v>
      </c>
      <c r="Y39" s="474">
        <f t="shared" si="38"/>
        <v>1.4598638525105641</v>
      </c>
      <c r="Z39" s="475">
        <f t="shared" si="39"/>
        <v>112.26279900367238</v>
      </c>
      <c r="AA39" s="475">
        <f t="shared" si="40"/>
        <v>9.2493337893649024</v>
      </c>
      <c r="AB39" s="475">
        <f t="shared" si="41"/>
        <v>6.3357509492810538</v>
      </c>
      <c r="AC39" s="475">
        <f t="shared" ref="AC39" si="65">S39/T39</f>
        <v>17.718941275053016</v>
      </c>
      <c r="AD39" s="475">
        <f t="shared" ref="AD39" si="66">T39/U39</f>
        <v>8.2390015850774712E-2</v>
      </c>
      <c r="AE39" s="479">
        <f>SUM(AE30:AE38)</f>
        <v>4</v>
      </c>
      <c r="AF39" s="479">
        <f t="shared" ref="AF39:AK39" si="67">SUM(AF30:AF38)</f>
        <v>4</v>
      </c>
      <c r="AG39" s="479">
        <f t="shared" si="67"/>
        <v>0</v>
      </c>
      <c r="AH39" s="479">
        <f t="shared" si="67"/>
        <v>0</v>
      </c>
      <c r="AI39" s="479">
        <f t="shared" si="67"/>
        <v>0</v>
      </c>
      <c r="AJ39" s="479">
        <f t="shared" si="67"/>
        <v>2</v>
      </c>
      <c r="AK39" s="505">
        <f t="shared" si="67"/>
        <v>0</v>
      </c>
      <c r="AL39" s="507">
        <f>SUM(AL29:AL38)</f>
        <v>10</v>
      </c>
      <c r="AM39" s="959">
        <f>SUM(AM30:AM38)</f>
        <v>1.7685416096100046</v>
      </c>
      <c r="AN39" s="508">
        <f>SUM(AN30:AN38)</f>
        <v>1</v>
      </c>
      <c r="AO39" s="942">
        <f>SUM(AO30:AO38)</f>
        <v>782575.53004921658</v>
      </c>
      <c r="AP39" s="459">
        <f>SUM(AP30:AP38)</f>
        <v>15209864.919204578</v>
      </c>
      <c r="AQ39" s="451">
        <f>SUM(AQ30:AQ38)</f>
        <v>15844174.06634772</v>
      </c>
    </row>
    <row r="40" spans="1:46" hidden="1">
      <c r="A40" s="302"/>
      <c r="W40" s="461" t="s">
        <v>124</v>
      </c>
      <c r="X40" s="458">
        <f>MEDIAN(X30:X38)</f>
        <v>8.7410864535128319</v>
      </c>
      <c r="Y40" s="458">
        <f t="shared" ref="Y40:AD40" si="68">MEDIAN(Y30:Y38)</f>
        <v>0.79944089492087433</v>
      </c>
      <c r="Z40" s="458">
        <f t="shared" si="68"/>
        <v>112.5272881486005</v>
      </c>
      <c r="AA40" s="458">
        <f t="shared" si="68"/>
        <v>9.6005008913240815</v>
      </c>
      <c r="AB40" s="458">
        <f t="shared" si="68"/>
        <v>9.8055061078538444</v>
      </c>
      <c r="AC40" s="458">
        <f t="shared" si="68"/>
        <v>4.1545357827429328</v>
      </c>
      <c r="AD40" s="458">
        <f t="shared" si="68"/>
        <v>51.53493379871837</v>
      </c>
      <c r="AE40" s="482"/>
    </row>
    <row r="41" spans="1:46" hidden="1">
      <c r="A41" s="302"/>
      <c r="W41" s="461" t="s">
        <v>126</v>
      </c>
      <c r="X41" s="458">
        <f>AVERAGE(X30:X38)</f>
        <v>14.405016004240988</v>
      </c>
      <c r="Y41" s="458">
        <f t="shared" ref="Y41:AD41" si="69">AVERAGE(Y30:Y38)</f>
        <v>1.2932766862094074</v>
      </c>
      <c r="Z41" s="458">
        <f t="shared" si="69"/>
        <v>104.13968692899162</v>
      </c>
      <c r="AA41" s="458">
        <f t="shared" si="69"/>
        <v>8.7212254401638454</v>
      </c>
      <c r="AB41" s="458">
        <f t="shared" si="69"/>
        <v>10.135051973945131</v>
      </c>
      <c r="AC41" s="458">
        <f t="shared" si="69"/>
        <v>4.3744464067016224</v>
      </c>
      <c r="AD41" s="458">
        <f t="shared" si="69"/>
        <v>50.399196336390105</v>
      </c>
    </row>
    <row r="42" spans="1:46" hidden="1">
      <c r="A42" s="302"/>
      <c r="W42" s="462" t="s">
        <v>65</v>
      </c>
      <c r="X42" s="458">
        <f>PERCENTILE(X30:X38,$AF$42)</f>
        <v>10.973675442167792</v>
      </c>
      <c r="Y42" s="458">
        <f t="shared" ref="Y42" si="70">PERCENTILE(Y30:Y38,$AF$42)</f>
        <v>1.1105709192145925</v>
      </c>
      <c r="Z42" s="464">
        <f>PERCENTILE(Z29:Z38,(1-$AF$42))</f>
        <v>100.14768489888762</v>
      </c>
      <c r="AA42" s="464">
        <f>PERCENTILE(AA29:AA38,(1-$AF$42))</f>
        <v>8.1783711597299984</v>
      </c>
      <c r="AB42" s="464">
        <f>PERCENTILE(AB29:AB38,(1-$AF$42))</f>
        <v>8.7070290133423907</v>
      </c>
      <c r="AC42" s="458">
        <f>PERCENTILE(AC30:AC38,$AF$42)</f>
        <v>4.4062414838784258</v>
      </c>
      <c r="AD42" s="458">
        <f t="shared" ref="AD42" si="71">PERCENTILE(AD30:AD38,$AF$42)</f>
        <v>56.533856330279249</v>
      </c>
      <c r="AE42" s="480" t="s">
        <v>151</v>
      </c>
      <c r="AF42" s="531">
        <f>W7</f>
        <v>0.6</v>
      </c>
      <c r="AG42" s="237" t="s">
        <v>152</v>
      </c>
    </row>
    <row r="43" spans="1:46" hidden="1">
      <c r="A43" s="302"/>
      <c r="W43" s="533" t="s">
        <v>127</v>
      </c>
      <c r="X43" s="469">
        <v>10.035525194955138</v>
      </c>
      <c r="Y43" s="469">
        <v>0.97988700610826451</v>
      </c>
      <c r="Z43" s="470">
        <v>85.553998933359125</v>
      </c>
      <c r="AA43" s="470">
        <v>7.2518631240647249</v>
      </c>
      <c r="AB43" s="470">
        <v>10.502066583166595</v>
      </c>
      <c r="AC43" s="470">
        <v>3.6175034467464808</v>
      </c>
      <c r="AD43" s="470">
        <v>46.441865968813282</v>
      </c>
      <c r="AE43" s="237" t="s">
        <v>128</v>
      </c>
    </row>
    <row r="44" spans="1:46" ht="26.25" hidden="1" thickBot="1">
      <c r="A44" s="302"/>
      <c r="AL44" s="518" t="s">
        <v>80</v>
      </c>
      <c r="AM44" s="519"/>
      <c r="AN44" s="520">
        <f>Assumptions!D28</f>
        <v>807928.11457346252</v>
      </c>
      <c r="AO44" s="910"/>
    </row>
    <row r="45" spans="1:46" ht="15" hidden="1" thickBot="1">
      <c r="A45" s="302"/>
      <c r="B45" s="1158" t="s">
        <v>81</v>
      </c>
      <c r="C45" s="1159"/>
      <c r="D45" s="1159"/>
      <c r="E45" s="1159"/>
      <c r="F45" s="1159"/>
      <c r="G45" s="1160"/>
      <c r="H45" s="1160"/>
      <c r="I45" s="1161" t="s">
        <v>70</v>
      </c>
      <c r="J45" s="1161"/>
      <c r="K45" s="1161"/>
      <c r="L45" s="1161"/>
      <c r="M45" s="1162" t="s">
        <v>71</v>
      </c>
      <c r="N45" s="1162"/>
      <c r="O45" s="1162"/>
      <c r="P45" s="1162"/>
    </row>
    <row r="46" spans="1:46" ht="71.25" hidden="1">
      <c r="A46" s="302"/>
      <c r="B46" s="896" t="s">
        <v>153</v>
      </c>
      <c r="C46" s="897" t="s">
        <v>154</v>
      </c>
      <c r="D46" s="897" t="s">
        <v>155</v>
      </c>
      <c r="E46" s="897" t="s">
        <v>156</v>
      </c>
      <c r="F46" s="897" t="s">
        <v>157</v>
      </c>
      <c r="G46" s="897" t="s">
        <v>88</v>
      </c>
      <c r="H46" s="897" t="s">
        <v>89</v>
      </c>
      <c r="I46" s="881" t="s">
        <v>90</v>
      </c>
      <c r="J46" s="882" t="s">
        <v>91</v>
      </c>
      <c r="K46" s="882"/>
      <c r="L46" s="883" t="s">
        <v>3</v>
      </c>
      <c r="M46" s="879" t="s">
        <v>92</v>
      </c>
      <c r="N46" s="884" t="s">
        <v>93</v>
      </c>
      <c r="O46" s="884"/>
      <c r="P46" s="885" t="s">
        <v>3</v>
      </c>
      <c r="R46" s="465" t="s">
        <v>158</v>
      </c>
      <c r="S46" s="465" t="s">
        <v>159</v>
      </c>
      <c r="T46" s="465" t="s">
        <v>160</v>
      </c>
      <c r="U46" s="465" t="s">
        <v>161</v>
      </c>
      <c r="V46" s="465" t="s">
        <v>183</v>
      </c>
      <c r="X46" s="504" t="s">
        <v>175</v>
      </c>
      <c r="Y46" s="504" t="s">
        <v>176</v>
      </c>
      <c r="Z46" s="504" t="s">
        <v>177</v>
      </c>
      <c r="AA46" s="504" t="s">
        <v>178</v>
      </c>
      <c r="AB46" s="504" t="s">
        <v>179</v>
      </c>
      <c r="AC46" s="504" t="s">
        <v>104</v>
      </c>
      <c r="AD46" s="504" t="s">
        <v>105</v>
      </c>
      <c r="AE46" s="463" t="s">
        <v>163</v>
      </c>
      <c r="AF46" s="463" t="s">
        <v>164</v>
      </c>
      <c r="AG46" s="463" t="s">
        <v>165</v>
      </c>
      <c r="AH46" s="463" t="s">
        <v>166</v>
      </c>
      <c r="AI46" s="463" t="s">
        <v>167</v>
      </c>
      <c r="AJ46" s="463" t="s">
        <v>184</v>
      </c>
      <c r="AK46" s="514" t="s">
        <v>185</v>
      </c>
      <c r="AL46" s="513" t="s">
        <v>113</v>
      </c>
      <c r="AM46" s="955"/>
      <c r="AN46" s="503" t="s">
        <v>114</v>
      </c>
      <c r="AO46" s="503" t="s">
        <v>172</v>
      </c>
      <c r="AP46" s="940" t="s">
        <v>116</v>
      </c>
      <c r="AQ46" s="915" t="s">
        <v>168</v>
      </c>
      <c r="AR46" s="916" t="s">
        <v>118</v>
      </c>
      <c r="AS46" s="917" t="s">
        <v>119</v>
      </c>
      <c r="AT46" s="449"/>
    </row>
    <row r="47" spans="1:46" ht="14.25" hidden="1">
      <c r="A47" s="472" t="s">
        <v>32</v>
      </c>
      <c r="B47" s="892">
        <f>VLOOKUP($A47,'Allocation Calculations_FY25'!$B$9:$C$48, 2, FALSE)</f>
        <v>1899811</v>
      </c>
      <c r="C47" s="892">
        <f>VLOOKUP($A47, OpCost[], 12, FALSE)</f>
        <v>1538915.3333333333</v>
      </c>
      <c r="D47" s="893">
        <f>VLOOKUP($A47, Ridership[],10, FALSE)</f>
        <v>156134</v>
      </c>
      <c r="E47" s="893">
        <f>VLOOKUP($A47, VRHsizing[], 12, FALSE)</f>
        <v>18012.333333333332</v>
      </c>
      <c r="F47" s="893">
        <f>VLOOKUP($A47,VRMsizing[[Agency]:[3-Year Average FY25]],10, FALSE)</f>
        <v>315455.33333333331</v>
      </c>
      <c r="G47" s="354">
        <f>IFERROR($I$9*(C47/C$56),0) + IFERROR($J$9*(D47/D$56),0) + IFERROR($K$9*(E47/E$56),0) + IFERROR($L$9*(F47/F$56),0)</f>
        <v>2.6535338375006615E-2</v>
      </c>
      <c r="H47" s="354">
        <f>IFERROR($M$9*(C47/C$56),0) + IFERROR($N$9*(D47/D$56),0) + IFERROR($O$9*(E47/E$56),0) + IFERROR($P$9*(F47/F$56),0)</f>
        <v>2.8881609708907609E-2</v>
      </c>
      <c r="I47" s="886">
        <f>G47/SUM($G$47:$G$55)</f>
        <v>2.6535338375006608E-2</v>
      </c>
      <c r="J47" s="887">
        <f>MIN(0.3*B47,I47*Assumptions!$D$29)</f>
        <v>389243.16208347911</v>
      </c>
      <c r="K47" s="887"/>
      <c r="L47" s="888">
        <f>I47*Assumptions!$D$29-J47</f>
        <v>0</v>
      </c>
      <c r="M47" s="880">
        <f>H47/SUM($H$47:$H$55)</f>
        <v>2.8881609708907609E-2</v>
      </c>
      <c r="N47" s="889">
        <f>MIN(0.3*B47,M47*Assumptions!$D$29)</f>
        <v>423660.28766170988</v>
      </c>
      <c r="O47" s="889"/>
      <c r="P47" s="890">
        <f>M47*Assumptions!$D$29-N47</f>
        <v>0</v>
      </c>
      <c r="R47" s="457">
        <f>VLOOKUP($A47,OpCost[[Agency]:[FY25 Operating Cost Performance]], 4, FALSE)</f>
        <v>1923269</v>
      </c>
      <c r="S47" s="466">
        <f>VLOOKUP($A47,Ridership[[Agency]:[FY25 Ridership]], 4, FALSE)</f>
        <v>180625</v>
      </c>
      <c r="T47" s="466">
        <f>VLOOKUP($A47,VRH[[Agency]:[FY25 Revenue Hours]], 3, FALSE)</f>
        <v>20219</v>
      </c>
      <c r="U47" s="466">
        <f>VLOOKUP($A47,VRM[[Agency]:[FY25 Revenue Miles]], 3, FALSE)</f>
        <v>185237</v>
      </c>
      <c r="V47" s="466">
        <f>VLOOKUP(A47,PMT!$A$2:$D$22, 2, FALSE)</f>
        <v>0</v>
      </c>
      <c r="X47" s="455">
        <f t="shared" ref="X47:X56" si="72">S47/T47</f>
        <v>8.9334289529650324</v>
      </c>
      <c r="Y47" s="455">
        <f t="shared" ref="Y47:Y56" si="73">S47/U47</f>
        <v>0.9751021664138374</v>
      </c>
      <c r="Z47" s="456">
        <f t="shared" ref="Z47:Z56" si="74">R47/T47</f>
        <v>95.121865571986746</v>
      </c>
      <c r="AA47" s="456">
        <f t="shared" ref="AA47:AA56" si="75">R47/U47</f>
        <v>10.382747507247473</v>
      </c>
      <c r="AB47" s="456">
        <f t="shared" ref="AB47:AB56" si="76">R47/S47</f>
        <v>10.647856055363322</v>
      </c>
      <c r="AC47" s="499" t="str">
        <f>IF(V47=0, "", V47/U47)</f>
        <v/>
      </c>
      <c r="AD47" s="499" t="str">
        <f>IF(V47=0, "",V47/T47)</f>
        <v/>
      </c>
      <c r="AE47" s="466">
        <f t="shared" ref="AE47:AE55" si="77">IF(X$10="Yes",(IF($W$6="Weighted Average",IF(X47&gt;=X$56,1,0),IF($W$6="MEDIAN",IF(X47&gt;=X$57,1,0),IF($W$6="MEAN",IF(X47&gt;=X$58,1,0),IF($W$6="PERCENTILE",IF(X47&gt;=X$59,1,0),IF(X47&gt;=X$60,1,0)) )))), 0)</f>
        <v>0</v>
      </c>
      <c r="AF47" s="466">
        <f t="shared" ref="AF47:AF55" si="78">IF(Y$10="Yes",(IF($W$6="Weighted Average",IF(Y47&gt;=Y$56,1,0),IF($W$6="MEDIAN",IF(Y47&gt;=Y$57,1,0),IF($W$6="MEAN",IF(Y47&gt;=Y$58,1,0),IF($W$6="PERCENTILE",IF(Y47&gt;=Y$59,1,0),IF(Y47&gt;=Y$60,1,0)) )))), 0)</f>
        <v>0</v>
      </c>
      <c r="AG47" s="466">
        <f t="shared" ref="AG47:AG55" si="79">IF(Z$10="Yes",(IF($W$6="Weighted Average",IF(Z47&lt;=Z$56,1,0),IF($W$6="MEDIAN",IF(Z47&lt;=Z$57,1,0),IF($W$6="MEAN",IF(Z47&lt;=Z$58,1,0),IF($W$6="PERCENTILE",IF(Z47&lt;=Z$59,1,0),IF(Z47&lt;=Z$60,1,0)) )))), 0)</f>
        <v>0</v>
      </c>
      <c r="AH47" s="466">
        <f t="shared" ref="AH47:AH55" si="80">IF(AA$10="Yes",(IF($W$6="Weighted Average",IF(AA47&lt;=AA$56,1,0),IF($W$6="MEDIAN",IF(AA47&lt;=AA$57,1,0),IF($W$6="MEAN",IF(AA47&lt;=AA$58,1,0),IF($W$6="PERCENTILE",IF(AA47&lt;=AA$59,1,0),IF(AA47&lt;=AA$60,1,0)) )))), 0)</f>
        <v>0</v>
      </c>
      <c r="AI47" s="466">
        <f t="shared" ref="AI47:AI55" si="81">IF(AB$10="Yes",(IF($W$6="Weighted Average",IF(AB47&lt;=AB$56,1,0),IF($W$6="MEDIAN",IF(AB47&lt;=AB$57,1,0),IF($W$6="MEAN",IF(AB47&lt;=AB$58,1,0),IF($W$6="PERCENTILE",IF(AB47&lt;=AB$59,1,0),IF(AB47&lt;=AB$60,1,0)) )))), 0)</f>
        <v>0</v>
      </c>
      <c r="AJ47" s="466">
        <f t="shared" ref="AJ47:AJ55" si="82">IF(AC$10="Yes",(IF($W$6="Weighted Average",IF(AC47&gt;=AC$56,1,0),IF($W$6="MEDIAN",IF(AC47&gt;=AC$57,1,0),IF($W$6="MEAN",IF(AC47&gt;=AC$58,1,0),IF($W$6="PERCENTILE",IF(AC47&gt;=AC$59,1,0),IF(AC47&gt;=AC$60,1,0)) ))))*IF(AC47="",0,1), 0)</f>
        <v>0</v>
      </c>
      <c r="AK47" s="466">
        <f t="shared" ref="AK47:AK55" si="83">IF(AD$10="Yes",(IF($W$6="Weighted Average",IF(AD47&gt;=AD$56,1,0),IF($W$6="MEDIAN",IF(AD47&gt;=AD$57,1,0),IF($W$6="MEAN",IF(AD47&gt;=AD$58,1,0),IF($W$6="PERCENTILE",IF(AD47&gt;=AD$59,1,0),IF(AD47&gt;=AD$60,1,0)) ))))*IF(AD47="",0,1), 0)</f>
        <v>0</v>
      </c>
      <c r="AL47" s="506">
        <f>MIN(SUM(AE47:AK47),$AL$5)</f>
        <v>0</v>
      </c>
      <c r="AM47" s="955">
        <f t="shared" ref="AM47:AM55" si="84">M47*AL47</f>
        <v>0</v>
      </c>
      <c r="AN47" s="502">
        <f>AM47/$AM$56</f>
        <v>0</v>
      </c>
      <c r="AO47" s="457">
        <f>AN47*$AN$44</f>
        <v>0</v>
      </c>
      <c r="AP47" s="941">
        <f>AO47+N47</f>
        <v>423660.28766170988</v>
      </c>
      <c r="AQ47" s="457">
        <f>VLOOKUP(A47,'Allocation Calculations_FY25'!$B$9:$CA$48, 78, FALSE)</f>
        <v>522225</v>
      </c>
      <c r="AR47" s="501">
        <f>AP47-AQ47</f>
        <v>-98564.712338290119</v>
      </c>
      <c r="AS47" s="502">
        <f>AR47/AQ47</f>
        <v>-0.18873993458430777</v>
      </c>
    </row>
    <row r="48" spans="1:46" ht="14.25" hidden="1">
      <c r="A48" s="472" t="s">
        <v>37</v>
      </c>
      <c r="B48" s="892">
        <v>4150901</v>
      </c>
      <c r="C48" s="892">
        <f>VLOOKUP($A48, OpCost[], 12, FALSE)</f>
        <v>4365827</v>
      </c>
      <c r="D48" s="893">
        <f>VLOOKUP($A48, Ridership[],10, FALSE)</f>
        <v>314832</v>
      </c>
      <c r="E48" s="893">
        <f>VLOOKUP($A48, VRHsizing[], 12, FALSE)</f>
        <v>39415.666666666664</v>
      </c>
      <c r="F48" s="893">
        <f>VLOOKUP($A48,VRMsizing[[Agency]:[3-Year Average FY25]],10, FALSE)</f>
        <v>545462.33333333337</v>
      </c>
      <c r="G48" s="354">
        <f t="shared" ref="G48:G55" si="85">IFERROR($I$9*(C48/C$56),0) + IFERROR($J$9*(D48/D$56),0) + IFERROR($K$9*(E48/E$56),0) + IFERROR($L$9*(F48/F$56),0)</f>
        <v>6.4424267449016276E-2</v>
      </c>
      <c r="H48" s="354">
        <f t="shared" ref="H48:H55" si="86">IFERROR($M$9*(C48/C$56),0) + IFERROR($N$9*(D48/D$56),0) + IFERROR($O$9*(E48/E$56),0) + IFERROR($P$9*(F48/F$56),0)</f>
        <v>6.8817747491293157E-2</v>
      </c>
      <c r="I48" s="886">
        <f t="shared" ref="I48:I55" si="87">G48/SUM($G$47:$G$55)</f>
        <v>6.4424267449016262E-2</v>
      </c>
      <c r="J48" s="887">
        <f>MIN(0.3*B48,I48*Assumptions!$D$29)</f>
        <v>945030.55594672065</v>
      </c>
      <c r="K48" s="887"/>
      <c r="L48" s="888">
        <f>I48*Assumptions!$D$29-J48</f>
        <v>0</v>
      </c>
      <c r="M48" s="880">
        <f t="shared" ref="M48:M55" si="88">H48/SUM($H$47:$H$55)</f>
        <v>6.8817747491293157E-2</v>
      </c>
      <c r="N48" s="889">
        <f>MIN(0.3*B48,M48*Assumptions!$D$29)</f>
        <v>1009477.8993360656</v>
      </c>
      <c r="O48" s="889"/>
      <c r="P48" s="890">
        <f>M48*Assumptions!$D$29-N48</f>
        <v>0</v>
      </c>
      <c r="R48" s="457">
        <f>VLOOKUP($A48,OpCost[[Agency]:[FY25 Operating Cost Performance]], 4, FALSE)</f>
        <v>4568165</v>
      </c>
      <c r="S48" s="466">
        <f>VLOOKUP($A48,Ridership[[Agency]:[FY25 Ridership]], 4, FALSE)</f>
        <v>288349</v>
      </c>
      <c r="T48" s="466">
        <f>VLOOKUP($A48,VRH[[Agency]:[FY25 Revenue Hours]], 3, FALSE)</f>
        <v>37181</v>
      </c>
      <c r="U48" s="466">
        <f>VLOOKUP($A48,VRM[[Agency]:[FY25 Revenue Miles]], 3, FALSE)</f>
        <v>598250</v>
      </c>
      <c r="V48" s="466">
        <f>VLOOKUP(A48,PMT!$A$2:$D$22, 2, FALSE)</f>
        <v>0</v>
      </c>
      <c r="X48" s="455">
        <f t="shared" si="72"/>
        <v>7.7552782335063606</v>
      </c>
      <c r="Y48" s="455">
        <f t="shared" si="73"/>
        <v>0.4819874634350188</v>
      </c>
      <c r="Z48" s="456">
        <f t="shared" si="74"/>
        <v>122.86288695839272</v>
      </c>
      <c r="AA48" s="456">
        <f t="shared" si="75"/>
        <v>7.6358796489761804</v>
      </c>
      <c r="AB48" s="456">
        <f t="shared" si="76"/>
        <v>15.842486015210735</v>
      </c>
      <c r="AC48" s="499" t="str">
        <f t="shared" ref="AC48:AC55" si="89">IF(V48=0, "", V48/U48)</f>
        <v/>
      </c>
      <c r="AD48" s="499" t="str">
        <f t="shared" ref="AD48:AD55" si="90">IF(V48=0, "",V48/T48)</f>
        <v/>
      </c>
      <c r="AE48" s="466">
        <f t="shared" si="77"/>
        <v>0</v>
      </c>
      <c r="AF48" s="466">
        <f t="shared" si="78"/>
        <v>0</v>
      </c>
      <c r="AG48" s="466">
        <f t="shared" si="79"/>
        <v>0</v>
      </c>
      <c r="AH48" s="466">
        <f t="shared" si="80"/>
        <v>0</v>
      </c>
      <c r="AI48" s="466">
        <f t="shared" si="81"/>
        <v>0</v>
      </c>
      <c r="AJ48" s="466">
        <f t="shared" si="82"/>
        <v>0</v>
      </c>
      <c r="AK48" s="466">
        <f t="shared" si="83"/>
        <v>0</v>
      </c>
      <c r="AL48" s="506">
        <f t="shared" ref="AL48:AL55" si="91">MIN(SUM(AE48:AK48),$AL$5)</f>
        <v>0</v>
      </c>
      <c r="AM48" s="955">
        <f t="shared" si="84"/>
        <v>0</v>
      </c>
      <c r="AN48" s="502">
        <f t="shared" ref="AN48:AN55" si="92">AM48/$AM$56</f>
        <v>0</v>
      </c>
      <c r="AO48" s="457">
        <f t="shared" ref="AO48:AO55" si="93">AN48*$AN$44</f>
        <v>0</v>
      </c>
      <c r="AP48" s="941">
        <f t="shared" ref="AP48:AP55" si="94">AO48+N48</f>
        <v>1009477.8993360656</v>
      </c>
      <c r="AQ48" s="457">
        <v>1053666</v>
      </c>
      <c r="AR48" s="501">
        <f t="shared" ref="AR48:AR55" si="95">AP48-AQ48</f>
        <v>-44188.100663934369</v>
      </c>
      <c r="AS48" s="502">
        <f t="shared" ref="AS48:AS55" si="96">AR48/AQ48</f>
        <v>-4.1937483665539524E-2</v>
      </c>
    </row>
    <row r="49" spans="1:45" ht="14.25" hidden="1">
      <c r="A49" s="472" t="s">
        <v>27</v>
      </c>
      <c r="B49" s="892">
        <f>VLOOKUP($A49,'Allocation Calculations_FY25'!$B$9:$C$48, 2, FALSE)</f>
        <v>397573</v>
      </c>
      <c r="C49" s="892">
        <f>VLOOKUP($A49, OpCost[], 12, FALSE)</f>
        <v>424011.66666666669</v>
      </c>
      <c r="D49" s="893">
        <f>VLOOKUP($A49, Ridership[],10, FALSE)</f>
        <v>43256</v>
      </c>
      <c r="E49" s="893">
        <f>VLOOKUP($A49, VRHsizing[], 12, FALSE)</f>
        <v>6358</v>
      </c>
      <c r="F49" s="893">
        <f>VLOOKUP($A49,VRMsizing[[Agency]:[3-Year Average FY25]],10, FALSE)</f>
        <v>92125.333333333328</v>
      </c>
      <c r="G49" s="354">
        <f t="shared" si="85"/>
        <v>7.6536356854815333E-3</v>
      </c>
      <c r="H49" s="354">
        <f t="shared" si="86"/>
        <v>8.4654669695731818E-3</v>
      </c>
      <c r="I49" s="886">
        <f t="shared" si="87"/>
        <v>7.6536356854815316E-3</v>
      </c>
      <c r="J49" s="887">
        <f>MIN(0.3*B49,I49*Assumptions!$D$29)</f>
        <v>112270.10990211448</v>
      </c>
      <c r="K49" s="887"/>
      <c r="L49" s="888">
        <f>I49*Assumptions!$D$29-J49</f>
        <v>0</v>
      </c>
      <c r="M49" s="880">
        <f t="shared" si="88"/>
        <v>8.4654669695731818E-3</v>
      </c>
      <c r="N49" s="889">
        <f>MIN(0.3*B49,M49*Assumptions!$D$29)</f>
        <v>119271.9</v>
      </c>
      <c r="O49" s="889"/>
      <c r="P49" s="890">
        <f>M49*Assumptions!$D$29-N49</f>
        <v>4906.8493033652485</v>
      </c>
      <c r="R49" s="457">
        <f>VLOOKUP($A49,OpCost[[Agency]:[FY25 Operating Cost Performance]], 4, FALSE)</f>
        <v>398814</v>
      </c>
      <c r="S49" s="466">
        <f>VLOOKUP($A49,Ridership[[Agency]:[FY25 Ridership]], 4, FALSE)</f>
        <v>43762</v>
      </c>
      <c r="T49" s="466">
        <f>VLOOKUP($A49,VRH[[Agency]:[FY25 Revenue Hours]], 3, FALSE)</f>
        <v>7886</v>
      </c>
      <c r="U49" s="466">
        <f>VLOOKUP($A49,VRM[[Agency]:[FY25 Revenue Miles]], 3, FALSE)</f>
        <v>84107</v>
      </c>
      <c r="V49" s="466">
        <f>VLOOKUP(A49,PMT!$A$2:$D$22, 2, FALSE)</f>
        <v>0</v>
      </c>
      <c r="X49" s="455">
        <f t="shared" si="72"/>
        <v>5.5493279229013446</v>
      </c>
      <c r="Y49" s="455">
        <f t="shared" si="73"/>
        <v>0.52031341029878608</v>
      </c>
      <c r="Z49" s="456">
        <f t="shared" si="74"/>
        <v>50.572406796855184</v>
      </c>
      <c r="AA49" s="456">
        <f t="shared" si="75"/>
        <v>4.7417456335382306</v>
      </c>
      <c r="AB49" s="456">
        <f t="shared" si="76"/>
        <v>9.1132489374343031</v>
      </c>
      <c r="AC49" s="499" t="str">
        <f t="shared" si="89"/>
        <v/>
      </c>
      <c r="AD49" s="499" t="str">
        <f t="shared" si="90"/>
        <v/>
      </c>
      <c r="AE49" s="466">
        <f t="shared" si="77"/>
        <v>0</v>
      </c>
      <c r="AF49" s="466">
        <f t="shared" si="78"/>
        <v>0</v>
      </c>
      <c r="AG49" s="466">
        <f t="shared" si="79"/>
        <v>0</v>
      </c>
      <c r="AH49" s="466">
        <f t="shared" si="80"/>
        <v>0</v>
      </c>
      <c r="AI49" s="466">
        <f t="shared" si="81"/>
        <v>0</v>
      </c>
      <c r="AJ49" s="466">
        <f t="shared" si="82"/>
        <v>0</v>
      </c>
      <c r="AK49" s="466">
        <f t="shared" si="83"/>
        <v>0</v>
      </c>
      <c r="AL49" s="506">
        <f t="shared" si="91"/>
        <v>0</v>
      </c>
      <c r="AM49" s="955">
        <f t="shared" si="84"/>
        <v>0</v>
      </c>
      <c r="AN49" s="502">
        <f t="shared" si="92"/>
        <v>0</v>
      </c>
      <c r="AO49" s="457">
        <f t="shared" si="93"/>
        <v>0</v>
      </c>
      <c r="AP49" s="941">
        <f t="shared" si="94"/>
        <v>119271.9</v>
      </c>
      <c r="AQ49" s="457">
        <f>VLOOKUP(A49,'Allocation Calculations_FY25'!$B$9:$CA$48, 78, FALSE)</f>
        <v>119644</v>
      </c>
      <c r="AR49" s="501">
        <f t="shared" si="95"/>
        <v>-372.10000000000582</v>
      </c>
      <c r="AS49" s="502">
        <f t="shared" si="96"/>
        <v>-3.1100598442045219E-3</v>
      </c>
    </row>
    <row r="50" spans="1:45" ht="14.25" hidden="1">
      <c r="A50" s="472" t="s">
        <v>56</v>
      </c>
      <c r="B50" s="892">
        <v>10986817</v>
      </c>
      <c r="C50" s="892">
        <f>VLOOKUP($A50, OpCost[], 12, FALSE)</f>
        <v>10646882</v>
      </c>
      <c r="D50" s="893">
        <f>VLOOKUP($A50, Ridership[],10, FALSE)</f>
        <v>4031679.6666666665</v>
      </c>
      <c r="E50" s="893">
        <f>VLOOKUP($A50, VRHsizing[], 12, FALSE)</f>
        <v>99274.666666666672</v>
      </c>
      <c r="F50" s="893">
        <f>VLOOKUP($A50,VRMsizing[[Agency]:[3-Year Average FY25]],10, FALSE)</f>
        <v>1072704</v>
      </c>
      <c r="G50" s="354">
        <f t="shared" si="85"/>
        <v>0.25088361520294666</v>
      </c>
      <c r="H50" s="354">
        <f t="shared" si="86"/>
        <v>0.2278549354304612</v>
      </c>
      <c r="I50" s="886">
        <f t="shared" si="87"/>
        <v>0.25088361520294661</v>
      </c>
      <c r="J50" s="887">
        <f>MIN(0.3*B50,I50*Assumptions!$D$29)</f>
        <v>3296045.1</v>
      </c>
      <c r="K50" s="887"/>
      <c r="L50" s="888">
        <f>I50*Assumptions!$D$29-J50</f>
        <v>384131.51265287818</v>
      </c>
      <c r="M50" s="880">
        <f t="shared" si="88"/>
        <v>0.2278549354304612</v>
      </c>
      <c r="N50" s="889">
        <f>MIN(0.3*B50,M50*Assumptions!$D$29)</f>
        <v>3296045.1</v>
      </c>
      <c r="O50" s="889"/>
      <c r="P50" s="890">
        <f>M50*Assumptions!$D$29-N50</f>
        <v>46327.034467178863</v>
      </c>
      <c r="R50" s="457">
        <f>VLOOKUP($A50,OpCost[[Agency]:[FY25 Operating Cost Performance]], 4, FALSE)</f>
        <v>12020724</v>
      </c>
      <c r="S50" s="466">
        <f>VLOOKUP($A50,Ridership[[Agency]:[FY25 Ridership]], 4, FALSE)</f>
        <v>3520078</v>
      </c>
      <c r="T50" s="466">
        <f>VLOOKUP($A50,VRH[[Agency]:[FY25 Revenue Hours]], 3, FALSE)</f>
        <v>92885</v>
      </c>
      <c r="U50" s="466">
        <f>VLOOKUP($A50,VRM[[Agency]:[FY25 Revenue Miles]], 3, FALSE)</f>
        <v>1050017</v>
      </c>
      <c r="V50" s="466">
        <f>VLOOKUP(A50,PMT!$A$2:$D$22, 2, FALSE)</f>
        <v>6571617</v>
      </c>
      <c r="X50" s="455">
        <f t="shared" si="72"/>
        <v>37.897163158744682</v>
      </c>
      <c r="Y50" s="455">
        <f t="shared" si="73"/>
        <v>3.3524009611272962</v>
      </c>
      <c r="Z50" s="456">
        <f t="shared" si="74"/>
        <v>129.41512623136137</v>
      </c>
      <c r="AA50" s="456">
        <f t="shared" si="75"/>
        <v>11.448123220862138</v>
      </c>
      <c r="AB50" s="456">
        <f t="shared" si="76"/>
        <v>3.4149027379506931</v>
      </c>
      <c r="AC50" s="499">
        <f t="shared" si="89"/>
        <v>6.258581527727646</v>
      </c>
      <c r="AD50" s="499">
        <f t="shared" si="90"/>
        <v>70.750034989503149</v>
      </c>
      <c r="AE50" s="466">
        <f t="shared" si="77"/>
        <v>1</v>
      </c>
      <c r="AF50" s="466">
        <f t="shared" si="78"/>
        <v>1</v>
      </c>
      <c r="AG50" s="466">
        <f t="shared" si="79"/>
        <v>0</v>
      </c>
      <c r="AH50" s="466">
        <f t="shared" si="80"/>
        <v>0</v>
      </c>
      <c r="AI50" s="466">
        <f t="shared" si="81"/>
        <v>0</v>
      </c>
      <c r="AJ50" s="466">
        <f t="shared" si="82"/>
        <v>1</v>
      </c>
      <c r="AK50" s="466">
        <f t="shared" si="83"/>
        <v>0</v>
      </c>
      <c r="AL50" s="506">
        <f t="shared" si="91"/>
        <v>3</v>
      </c>
      <c r="AM50" s="955">
        <f t="shared" si="84"/>
        <v>0.68356480629138361</v>
      </c>
      <c r="AN50" s="502">
        <f t="shared" si="92"/>
        <v>0.38384408157766403</v>
      </c>
      <c r="AO50" s="457">
        <f t="shared" si="93"/>
        <v>310118.42511922441</v>
      </c>
      <c r="AP50" s="941">
        <f t="shared" si="94"/>
        <v>3606163.5251192246</v>
      </c>
      <c r="AQ50" s="457">
        <v>3606217</v>
      </c>
      <c r="AR50" s="501">
        <f t="shared" si="95"/>
        <v>-53.474880775436759</v>
      </c>
      <c r="AS50" s="502">
        <f t="shared" si="96"/>
        <v>-1.4828525508985388E-5</v>
      </c>
    </row>
    <row r="51" spans="1:45" ht="14.25" hidden="1">
      <c r="A51" s="472" t="s">
        <v>26</v>
      </c>
      <c r="B51" s="892">
        <f>VLOOKUP($A51,'Allocation Calculations_FY25'!$B$9:$C$48, 2, FALSE)</f>
        <v>10488989</v>
      </c>
      <c r="C51" s="892">
        <f>VLOOKUP($A51, OpCost[], 12, FALSE)</f>
        <v>13527531</v>
      </c>
      <c r="D51" s="893">
        <f>VLOOKUP($A51, Ridership[],10, FALSE)</f>
        <v>1424552.3333333333</v>
      </c>
      <c r="E51" s="893">
        <f>VLOOKUP($A51, VRHsizing[], 12, FALSE)</f>
        <v>103858.33333333333</v>
      </c>
      <c r="F51" s="893">
        <f>VLOOKUP($A51,VRMsizing[[Agency]:[3-Year Average FY25]],10, FALSE)</f>
        <v>1413062.6666666667</v>
      </c>
      <c r="G51" s="354">
        <f t="shared" si="85"/>
        <v>0.20563672498193716</v>
      </c>
      <c r="H51" s="354">
        <f t="shared" si="86"/>
        <v>0.21116596578290356</v>
      </c>
      <c r="I51" s="886">
        <f t="shared" si="87"/>
        <v>0.20563672498193711</v>
      </c>
      <c r="J51" s="887">
        <f>MIN(0.3*B51,I51*Assumptions!$D$29)</f>
        <v>3016456.3172803344</v>
      </c>
      <c r="K51" s="887"/>
      <c r="L51" s="888">
        <f>I51*Assumptions!$D$29-J51</f>
        <v>0</v>
      </c>
      <c r="M51" s="880">
        <f t="shared" si="88"/>
        <v>0.21116596578290356</v>
      </c>
      <c r="N51" s="889">
        <f>MIN(0.3*B51,M51*Assumptions!$D$29)</f>
        <v>3097563.9761642446</v>
      </c>
      <c r="O51" s="889"/>
      <c r="P51" s="890">
        <f>M51*Assumptions!$D$29-N51</f>
        <v>0</v>
      </c>
      <c r="R51" s="457">
        <f>VLOOKUP($A51,OpCost[[Agency]:[FY25 Operating Cost Performance]], 4, FALSE)</f>
        <v>14752993</v>
      </c>
      <c r="S51" s="466">
        <f>VLOOKUP($A51,Ridership[[Agency]:[FY25 Ridership]], 4, FALSE)</f>
        <v>1244671</v>
      </c>
      <c r="T51" s="466">
        <f>VLOOKUP($A51,VRH[[Agency]:[FY25 Revenue Hours]], 3, FALSE)</f>
        <v>113603</v>
      </c>
      <c r="U51" s="466">
        <f>VLOOKUP($A51,VRM[[Agency]:[FY25 Revenue Miles]], 3, FALSE)</f>
        <v>1184761</v>
      </c>
      <c r="V51" s="466">
        <f>VLOOKUP(A51,PMT!$A$2:$D$22, 2, FALSE)</f>
        <v>0</v>
      </c>
      <c r="X51" s="455">
        <f t="shared" si="72"/>
        <v>10.956321576014718</v>
      </c>
      <c r="Y51" s="455">
        <f t="shared" si="73"/>
        <v>1.0505671608028961</v>
      </c>
      <c r="Z51" s="456">
        <f t="shared" si="74"/>
        <v>129.86446660739594</v>
      </c>
      <c r="AA51" s="456">
        <f t="shared" si="75"/>
        <v>12.452294597813399</v>
      </c>
      <c r="AB51" s="456">
        <f t="shared" si="76"/>
        <v>11.852925793241749</v>
      </c>
      <c r="AC51" s="499" t="str">
        <f t="shared" si="89"/>
        <v/>
      </c>
      <c r="AD51" s="499" t="str">
        <f t="shared" si="90"/>
        <v/>
      </c>
      <c r="AE51" s="466">
        <f t="shared" si="77"/>
        <v>1</v>
      </c>
      <c r="AF51" s="466">
        <f t="shared" si="78"/>
        <v>1</v>
      </c>
      <c r="AG51" s="466">
        <f t="shared" si="79"/>
        <v>0</v>
      </c>
      <c r="AH51" s="466">
        <f t="shared" si="80"/>
        <v>0</v>
      </c>
      <c r="AI51" s="466">
        <f t="shared" si="81"/>
        <v>0</v>
      </c>
      <c r="AJ51" s="466">
        <f t="shared" si="82"/>
        <v>0</v>
      </c>
      <c r="AK51" s="466">
        <f t="shared" si="83"/>
        <v>0</v>
      </c>
      <c r="AL51" s="506">
        <f t="shared" si="91"/>
        <v>2</v>
      </c>
      <c r="AM51" s="955">
        <f t="shared" si="84"/>
        <v>0.42233193156580712</v>
      </c>
      <c r="AN51" s="502">
        <f t="shared" si="92"/>
        <v>0.23715324560418566</v>
      </c>
      <c r="AO51" s="457">
        <f t="shared" si="93"/>
        <v>191602.77458596701</v>
      </c>
      <c r="AP51" s="941">
        <f t="shared" si="94"/>
        <v>3289166.7507502115</v>
      </c>
      <c r="AQ51" s="457">
        <f>VLOOKUP(A51,'Allocation Calculations_FY25'!$B$9:$CA$48, 78, FALSE)</f>
        <v>2600883</v>
      </c>
      <c r="AR51" s="501">
        <f t="shared" si="95"/>
        <v>688283.75075021153</v>
      </c>
      <c r="AS51" s="502">
        <f t="shared" si="96"/>
        <v>0.26463464552239047</v>
      </c>
    </row>
    <row r="52" spans="1:45" ht="14.25" hidden="1">
      <c r="A52" s="472" t="s">
        <v>28</v>
      </c>
      <c r="B52" s="892">
        <f>VLOOKUP($A52,'Allocation Calculations_FY25'!$B$9:$C$48, 2, FALSE)</f>
        <v>6482376</v>
      </c>
      <c r="C52" s="892">
        <f>VLOOKUP($A52, OpCost[], 12, FALSE)</f>
        <v>6153710.666666667</v>
      </c>
      <c r="D52" s="893">
        <f>VLOOKUP($A52, Ridership[],10, FALSE)</f>
        <v>1785739</v>
      </c>
      <c r="E52" s="893">
        <f>VLOOKUP($A52, VRHsizing[], 12, FALSE)</f>
        <v>74591.666666666672</v>
      </c>
      <c r="F52" s="893">
        <f>VLOOKUP($A52,VRMsizing[[Agency]:[3-Year Average FY25]],10, FALSE)</f>
        <v>761865.33333333337</v>
      </c>
      <c r="G52" s="354">
        <f t="shared" si="85"/>
        <v>0.1340812475840682</v>
      </c>
      <c r="H52" s="354">
        <f t="shared" si="86"/>
        <v>0.12875956722379858</v>
      </c>
      <c r="I52" s="886">
        <f t="shared" si="87"/>
        <v>0.13408124758406817</v>
      </c>
      <c r="J52" s="887">
        <f>MIN(0.3*B52,I52*Assumptions!$D$29)</f>
        <v>1944712.7999999998</v>
      </c>
      <c r="K52" s="887"/>
      <c r="L52" s="888">
        <f>I52*Assumptions!$D$29-J52</f>
        <v>22106.241391159361</v>
      </c>
      <c r="M52" s="880">
        <f t="shared" si="88"/>
        <v>0.12875956722379858</v>
      </c>
      <c r="N52" s="889">
        <f>MIN(0.3*B52,M52*Assumptions!$D$29)</f>
        <v>1888756.0575409159</v>
      </c>
      <c r="O52" s="889"/>
      <c r="P52" s="890">
        <f>M52*Assumptions!$D$29-N52</f>
        <v>0</v>
      </c>
      <c r="R52" s="457">
        <f>VLOOKUP($A52,OpCost[[Agency]:[FY25 Operating Cost Performance]], 4, FALSE)</f>
        <v>6578658</v>
      </c>
      <c r="S52" s="466">
        <f>VLOOKUP($A52,Ridership[[Agency]:[FY25 Ridership]], 4, FALSE)</f>
        <v>1522746</v>
      </c>
      <c r="T52" s="466">
        <f>VLOOKUP($A52,VRH[[Agency]:[FY25 Revenue Hours]], 3, FALSE)</f>
        <v>72014</v>
      </c>
      <c r="U52" s="466">
        <f>VLOOKUP($A52,VRM[[Agency]:[FY25 Revenue Miles]], 3, FALSE)</f>
        <v>753636</v>
      </c>
      <c r="V52" s="466">
        <f>VLOOKUP(A52,PMT!$A$2:$D$22, 2, FALSE)</f>
        <v>3218771</v>
      </c>
      <c r="X52" s="455">
        <f t="shared" si="72"/>
        <v>21.145138445302301</v>
      </c>
      <c r="Y52" s="455">
        <f t="shared" si="73"/>
        <v>2.0205324586405107</v>
      </c>
      <c r="Z52" s="456">
        <f t="shared" si="74"/>
        <v>91.352487016413477</v>
      </c>
      <c r="AA52" s="456">
        <f t="shared" si="75"/>
        <v>8.7292247185643994</v>
      </c>
      <c r="AB52" s="456">
        <f t="shared" si="76"/>
        <v>4.3202595836731801</v>
      </c>
      <c r="AC52" s="499">
        <f t="shared" si="89"/>
        <v>4.2709889124192584</v>
      </c>
      <c r="AD52" s="499">
        <f t="shared" si="90"/>
        <v>44.696461799094621</v>
      </c>
      <c r="AE52" s="466">
        <f t="shared" si="77"/>
        <v>1</v>
      </c>
      <c r="AF52" s="466">
        <f t="shared" si="78"/>
        <v>1</v>
      </c>
      <c r="AG52" s="466">
        <f t="shared" si="79"/>
        <v>0</v>
      </c>
      <c r="AH52" s="466">
        <f t="shared" si="80"/>
        <v>0</v>
      </c>
      <c r="AI52" s="466">
        <f t="shared" si="81"/>
        <v>0</v>
      </c>
      <c r="AJ52" s="466">
        <f t="shared" si="82"/>
        <v>1</v>
      </c>
      <c r="AK52" s="466">
        <f t="shared" si="83"/>
        <v>0</v>
      </c>
      <c r="AL52" s="506">
        <f t="shared" si="91"/>
        <v>3</v>
      </c>
      <c r="AM52" s="955">
        <f t="shared" si="84"/>
        <v>0.38627870167139577</v>
      </c>
      <c r="AN52" s="502">
        <f t="shared" si="92"/>
        <v>0.21690817331643886</v>
      </c>
      <c r="AO52" s="457">
        <f t="shared" si="93"/>
        <v>175246.21150312427</v>
      </c>
      <c r="AP52" s="941">
        <f t="shared" si="94"/>
        <v>2064002.2690440402</v>
      </c>
      <c r="AQ52" s="457">
        <f>VLOOKUP(A52,'Allocation Calculations_FY25'!$B$9:$CA$48, 78, FALSE)</f>
        <v>1973597</v>
      </c>
      <c r="AR52" s="501">
        <f t="shared" si="95"/>
        <v>90405.269044040237</v>
      </c>
      <c r="AS52" s="502">
        <f t="shared" si="96"/>
        <v>4.5807360390211493E-2</v>
      </c>
    </row>
    <row r="53" spans="1:45" ht="14.25" hidden="1">
      <c r="A53" s="472" t="s">
        <v>61</v>
      </c>
      <c r="B53" s="892">
        <f>VLOOKUP($A53,'Allocation Calculations_FY25'!$B$9:$C$48, 2, FALSE)</f>
        <v>7910674</v>
      </c>
      <c r="C53" s="892">
        <f>VLOOKUP($A53, OpCost[], 12, FALSE)</f>
        <v>7493876.333333333</v>
      </c>
      <c r="D53" s="893">
        <f>VLOOKUP($A53, Ridership[],10, FALSE)</f>
        <v>1552360.6666666667</v>
      </c>
      <c r="E53" s="893">
        <f>VLOOKUP($A53, VRHsizing[], 12, FALSE)</f>
        <v>76336</v>
      </c>
      <c r="F53" s="893">
        <f>VLOOKUP($A53,VRMsizing[[Agency]:[3-Year Average FY25]],10, FALSE)</f>
        <v>1116432.3333333333</v>
      </c>
      <c r="G53" s="354">
        <f t="shared" si="85"/>
        <v>0.14472082073624998</v>
      </c>
      <c r="H53" s="354">
        <f t="shared" si="86"/>
        <v>0.14433216567697343</v>
      </c>
      <c r="I53" s="886">
        <f t="shared" si="87"/>
        <v>0.14472082073624995</v>
      </c>
      <c r="J53" s="887">
        <f>MIN(0.3*B53,I53*Assumptions!$D$29)</f>
        <v>2122889.4497818979</v>
      </c>
      <c r="K53" s="887"/>
      <c r="L53" s="888">
        <f>I53*Assumptions!$D$29-J53</f>
        <v>0</v>
      </c>
      <c r="M53" s="880">
        <f t="shared" si="88"/>
        <v>0.14433216567697343</v>
      </c>
      <c r="N53" s="889">
        <f>MIN(0.3*B53,M53*Assumptions!$D$29)</f>
        <v>2117188.3231523987</v>
      </c>
      <c r="O53" s="889"/>
      <c r="P53" s="890">
        <f>M53*Assumptions!$D$29-N53</f>
        <v>0</v>
      </c>
      <c r="R53" s="457">
        <f>VLOOKUP($A53,OpCost[[Agency]:[FY25 Operating Cost Performance]], 4, FALSE)</f>
        <v>7910674</v>
      </c>
      <c r="S53" s="466">
        <f>VLOOKUP($A53,Ridership[[Agency]:[FY25 Ridership]], 4, FALSE)</f>
        <v>1655082</v>
      </c>
      <c r="T53" s="466">
        <f>VLOOKUP($A53,VRH[[Agency]:[FY25 Revenue Hours]], 3, FALSE)</f>
        <v>71283</v>
      </c>
      <c r="U53" s="466">
        <f>VLOOKUP($A53,VRM[[Agency]:[FY25 Revenue Miles]], 3, FALSE)</f>
        <v>1099092</v>
      </c>
      <c r="V53" s="466">
        <f>VLOOKUP(A53,PMT!$A$2:$D$22, 2, FALSE)</f>
        <v>3497142</v>
      </c>
      <c r="X53" s="455">
        <f t="shared" si="72"/>
        <v>23.218467236227433</v>
      </c>
      <c r="Y53" s="455">
        <f t="shared" si="73"/>
        <v>1.5058630214759092</v>
      </c>
      <c r="Z53" s="456">
        <f t="shared" si="74"/>
        <v>110.97560428152575</v>
      </c>
      <c r="AA53" s="456">
        <f t="shared" si="75"/>
        <v>7.1974629967282082</v>
      </c>
      <c r="AB53" s="456">
        <f t="shared" si="76"/>
        <v>4.779626628771263</v>
      </c>
      <c r="AC53" s="499">
        <f t="shared" si="89"/>
        <v>3.1818464696312958</v>
      </c>
      <c r="AD53" s="499">
        <f t="shared" si="90"/>
        <v>49.05997222339127</v>
      </c>
      <c r="AE53" s="466">
        <f t="shared" si="77"/>
        <v>1</v>
      </c>
      <c r="AF53" s="466">
        <f t="shared" si="78"/>
        <v>1</v>
      </c>
      <c r="AG53" s="466">
        <f t="shared" si="79"/>
        <v>0</v>
      </c>
      <c r="AH53" s="466">
        <f t="shared" si="80"/>
        <v>0</v>
      </c>
      <c r="AI53" s="466">
        <f t="shared" si="81"/>
        <v>0</v>
      </c>
      <c r="AJ53" s="466">
        <f t="shared" si="82"/>
        <v>0</v>
      </c>
      <c r="AK53" s="466">
        <f t="shared" si="83"/>
        <v>0</v>
      </c>
      <c r="AL53" s="506">
        <f t="shared" si="91"/>
        <v>2</v>
      </c>
      <c r="AM53" s="955">
        <f t="shared" si="84"/>
        <v>0.28866433135394687</v>
      </c>
      <c r="AN53" s="502">
        <f t="shared" si="92"/>
        <v>0.16209449950171154</v>
      </c>
      <c r="AO53" s="457">
        <f t="shared" si="93"/>
        <v>130960.70336514687</v>
      </c>
      <c r="AP53" s="941">
        <f t="shared" si="94"/>
        <v>2248149.0265175453</v>
      </c>
      <c r="AQ53" s="457">
        <f>VLOOKUP(A53,'Allocation Calculations_FY25'!$B$9:$CA$48, 78, FALSE)</f>
        <v>2373202</v>
      </c>
      <c r="AR53" s="501">
        <f t="shared" si="95"/>
        <v>-125052.97348245466</v>
      </c>
      <c r="AS53" s="502">
        <f t="shared" si="96"/>
        <v>-5.2693775532994938E-2</v>
      </c>
    </row>
    <row r="54" spans="1:45" ht="14.25" hidden="1">
      <c r="A54" s="472" t="s">
        <v>38</v>
      </c>
      <c r="B54" s="892">
        <f>VLOOKUP($A54,'Allocation Calculations_FY25'!$B$9:$C$48, 2, FALSE)</f>
        <v>8312589</v>
      </c>
      <c r="C54" s="892">
        <f>VLOOKUP($A54, OpCost[], 12, FALSE)</f>
        <v>7690196.666666667</v>
      </c>
      <c r="D54" s="893">
        <f>VLOOKUP($A54, Ridership[],10, FALSE)</f>
        <v>603028</v>
      </c>
      <c r="E54" s="893">
        <f>VLOOKUP($A54, VRHsizing[], 12, FALSE)</f>
        <v>76432.333333333328</v>
      </c>
      <c r="F54" s="893">
        <f>VLOOKUP($A54,VRMsizing[[Agency]:[3-Year Average FY25]],10, FALSE)</f>
        <v>1163824.99</v>
      </c>
      <c r="G54" s="354">
        <f t="shared" si="85"/>
        <v>0.11905758001396347</v>
      </c>
      <c r="H54" s="354">
        <f t="shared" si="86"/>
        <v>0.1283878491990133</v>
      </c>
      <c r="I54" s="886">
        <f t="shared" si="87"/>
        <v>0.11905758001396344</v>
      </c>
      <c r="J54" s="887">
        <f>MIN(0.3*B54,I54*Assumptions!$D$29)</f>
        <v>1746438.9660201729</v>
      </c>
      <c r="K54" s="887"/>
      <c r="L54" s="888">
        <f>I54*Assumptions!$D$29-J54</f>
        <v>0</v>
      </c>
      <c r="M54" s="880">
        <f t="shared" si="88"/>
        <v>0.1283878491990133</v>
      </c>
      <c r="N54" s="889">
        <f>MIN(0.3*B54,M54*Assumptions!$D$29)</f>
        <v>1883303.3778981674</v>
      </c>
      <c r="O54" s="889"/>
      <c r="P54" s="890">
        <f>M54*Assumptions!$D$29-N54</f>
        <v>0</v>
      </c>
      <c r="R54" s="457">
        <f>VLOOKUP($A54,OpCost[[Agency]:[FY25 Operating Cost Performance]], 4, FALSE)</f>
        <v>8675119</v>
      </c>
      <c r="S54" s="466">
        <f>VLOOKUP($A54,Ridership[[Agency]:[FY25 Ridership]], 4, FALSE)</f>
        <v>519342</v>
      </c>
      <c r="T54" s="466">
        <f>VLOOKUP($A54,VRH[[Agency]:[FY25 Revenue Hours]], 3, FALSE)</f>
        <v>79599</v>
      </c>
      <c r="U54" s="466">
        <f>VLOOKUP($A54,VRM[[Agency]:[FY25 Revenue Miles]], 3, FALSE)</f>
        <v>1073547</v>
      </c>
      <c r="V54" s="466">
        <f>VLOOKUP(A54,PMT!$A$2:$D$22, 2, FALSE)</f>
        <v>2306018</v>
      </c>
      <c r="X54" s="455">
        <f t="shared" si="72"/>
        <v>6.5244789507405869</v>
      </c>
      <c r="Y54" s="455">
        <f t="shared" si="73"/>
        <v>0.48376270438089808</v>
      </c>
      <c r="Z54" s="456">
        <f t="shared" si="74"/>
        <v>108.98527619693715</v>
      </c>
      <c r="AA54" s="456">
        <f t="shared" si="75"/>
        <v>8.080800374832215</v>
      </c>
      <c r="AB54" s="456">
        <f t="shared" si="76"/>
        <v>16.704058212122263</v>
      </c>
      <c r="AC54" s="499">
        <f t="shared" si="89"/>
        <v>2.1480363691575683</v>
      </c>
      <c r="AD54" s="499">
        <f t="shared" si="90"/>
        <v>28.970439327127224</v>
      </c>
      <c r="AE54" s="466">
        <f t="shared" si="77"/>
        <v>0</v>
      </c>
      <c r="AF54" s="466">
        <f t="shared" si="78"/>
        <v>0</v>
      </c>
      <c r="AG54" s="466">
        <f t="shared" si="79"/>
        <v>0</v>
      </c>
      <c r="AH54" s="466">
        <f t="shared" si="80"/>
        <v>0</v>
      </c>
      <c r="AI54" s="466">
        <f t="shared" si="81"/>
        <v>0</v>
      </c>
      <c r="AJ54" s="466">
        <f t="shared" si="82"/>
        <v>0</v>
      </c>
      <c r="AK54" s="466">
        <f t="shared" si="83"/>
        <v>0</v>
      </c>
      <c r="AL54" s="506">
        <f t="shared" si="91"/>
        <v>0</v>
      </c>
      <c r="AM54" s="955">
        <f t="shared" si="84"/>
        <v>0</v>
      </c>
      <c r="AN54" s="502">
        <f t="shared" si="92"/>
        <v>0</v>
      </c>
      <c r="AO54" s="457">
        <f t="shared" si="93"/>
        <v>0</v>
      </c>
      <c r="AP54" s="941">
        <f t="shared" si="94"/>
        <v>1883303.3778981674</v>
      </c>
      <c r="AQ54" s="457">
        <f>VLOOKUP(A54,'Allocation Calculations_FY25'!$B$9:$CA$48, 78, FALSE)</f>
        <v>1652305</v>
      </c>
      <c r="AR54" s="501">
        <f t="shared" si="95"/>
        <v>230998.37789816735</v>
      </c>
      <c r="AS54" s="502">
        <f t="shared" si="96"/>
        <v>0.13980371535410674</v>
      </c>
    </row>
    <row r="55" spans="1:45" ht="15" hidden="1" thickBot="1">
      <c r="A55" s="472" t="s">
        <v>25</v>
      </c>
      <c r="B55" s="892">
        <f>VLOOKUP($A55,'Allocation Calculations_FY25'!$B$9:$C$48, 2, FALSE)</f>
        <v>2068694</v>
      </c>
      <c r="C55" s="892">
        <f>VLOOKUP($A55, OpCost[], 12, FALSE)</f>
        <v>2619612.3333333335</v>
      </c>
      <c r="D55" s="893">
        <f>VLOOKUP($A55, Ridership[],10, FALSE)</f>
        <v>208481</v>
      </c>
      <c r="E55" s="893">
        <f>VLOOKUP($A55, VRHsizing[], 12, FALSE)</f>
        <v>36041.666666666664</v>
      </c>
      <c r="F55" s="893">
        <f>VLOOKUP($A55,VRMsizing[[Agency]:[3-Year Average FY25]],10, FALSE)</f>
        <v>718487.31333333335</v>
      </c>
      <c r="G55" s="354">
        <f t="shared" si="85"/>
        <v>4.7006769971330083E-2</v>
      </c>
      <c r="H55" s="354">
        <f t="shared" si="86"/>
        <v>5.3334692517075968E-2</v>
      </c>
      <c r="I55" s="886">
        <f t="shared" si="87"/>
        <v>4.7006769971330069E-2</v>
      </c>
      <c r="J55" s="887">
        <f>MIN(0.3*B55,I55*Assumptions!$D$29)</f>
        <v>620608.19999999995</v>
      </c>
      <c r="K55" s="887"/>
      <c r="L55" s="888">
        <f>I55*Assumptions!$D$29-J55</f>
        <v>68927.524941238575</v>
      </c>
      <c r="M55" s="880">
        <f t="shared" si="88"/>
        <v>5.3334692517075968E-2</v>
      </c>
      <c r="N55" s="889">
        <f>MIN(0.3*B55,M55*Assumptions!$D$29)</f>
        <v>620608.19999999995</v>
      </c>
      <c r="O55" s="889"/>
      <c r="P55" s="890">
        <f>M55*Assumptions!$D$29-N55</f>
        <v>161750.93447595346</v>
      </c>
      <c r="R55" s="457">
        <f>VLOOKUP($A55,OpCost[[Agency]:[FY25 Operating Cost Performance]], 4, FALSE)</f>
        <v>3047407</v>
      </c>
      <c r="S55" s="466">
        <f>VLOOKUP($A55,Ridership[[Agency]:[FY25 Ridership]], 4, FALSE)</f>
        <v>196967</v>
      </c>
      <c r="T55" s="466">
        <f>VLOOKUP($A55,VRH[[Agency]:[FY25 Revenue Hours]], 3, FALSE)</f>
        <v>37781</v>
      </c>
      <c r="U55" s="466">
        <f>VLOOKUP($A55,VRM[[Agency]:[FY25 Revenue Miles]], 3, FALSE)</f>
        <v>710177</v>
      </c>
      <c r="V55" s="466">
        <f>VLOOKUP(A55,PMT!$A$2:$D$22, 2, FALSE)</f>
        <v>0</v>
      </c>
      <c r="X55" s="476">
        <f t="shared" si="72"/>
        <v>5.2133876816389186</v>
      </c>
      <c r="Y55" s="476">
        <f t="shared" si="73"/>
        <v>0.27734916788349945</v>
      </c>
      <c r="Z55" s="477">
        <f t="shared" si="74"/>
        <v>80.659776077922771</v>
      </c>
      <c r="AA55" s="477">
        <f t="shared" si="75"/>
        <v>4.2910527938809624</v>
      </c>
      <c r="AB55" s="477">
        <f t="shared" si="76"/>
        <v>15.471662765844025</v>
      </c>
      <c r="AC55" s="500" t="str">
        <f t="shared" si="89"/>
        <v/>
      </c>
      <c r="AD55" s="500" t="str">
        <f t="shared" si="90"/>
        <v/>
      </c>
      <c r="AE55" s="478">
        <f t="shared" si="77"/>
        <v>0</v>
      </c>
      <c r="AF55" s="478">
        <f t="shared" si="78"/>
        <v>0</v>
      </c>
      <c r="AG55" s="478">
        <f t="shared" si="79"/>
        <v>0</v>
      </c>
      <c r="AH55" s="478">
        <f t="shared" si="80"/>
        <v>0</v>
      </c>
      <c r="AI55" s="478">
        <f t="shared" si="81"/>
        <v>0</v>
      </c>
      <c r="AJ55" s="478">
        <f t="shared" si="82"/>
        <v>0</v>
      </c>
      <c r="AK55" s="478">
        <f t="shared" si="83"/>
        <v>0</v>
      </c>
      <c r="AL55" s="509">
        <f t="shared" si="91"/>
        <v>0</v>
      </c>
      <c r="AM55" s="956">
        <f t="shared" si="84"/>
        <v>0</v>
      </c>
      <c r="AN55" s="510">
        <f t="shared" si="92"/>
        <v>0</v>
      </c>
      <c r="AO55" s="511">
        <f t="shared" si="93"/>
        <v>0</v>
      </c>
      <c r="AP55" s="943">
        <f t="shared" si="94"/>
        <v>620608.19999999995</v>
      </c>
      <c r="AQ55" s="511">
        <f>VLOOKUP(A55,'Allocation Calculations_FY25'!$B$9:$CA$48, 78, FALSE)</f>
        <v>661136</v>
      </c>
      <c r="AR55" s="512">
        <f t="shared" si="95"/>
        <v>-40527.800000000047</v>
      </c>
      <c r="AS55" s="510">
        <f t="shared" si="96"/>
        <v>-6.1300246847849835E-2</v>
      </c>
    </row>
    <row r="56" spans="1:45" ht="15.75" hidden="1" thickTop="1" thickBot="1">
      <c r="A56" s="302"/>
      <c r="B56" s="892">
        <f>SUM(B47:B55)</f>
        <v>52698424</v>
      </c>
      <c r="C56" s="892">
        <f t="shared" ref="C56" si="97">SUM(C47:C55)</f>
        <v>54460563</v>
      </c>
      <c r="D56" s="892">
        <f t="shared" ref="D56" si="98">SUM(D47:D55)</f>
        <v>10120062.666666666</v>
      </c>
      <c r="E56" s="892">
        <f t="shared" ref="E56" si="99">SUM(E47:E55)</f>
        <v>530320.66666666663</v>
      </c>
      <c r="F56" s="892">
        <f t="shared" ref="F56" si="100">SUM(F47:F55)</f>
        <v>7199419.6366666667</v>
      </c>
      <c r="G56" s="894">
        <f>SUM(G47:G55)</f>
        <v>1.0000000000000002</v>
      </c>
      <c r="H56" s="894">
        <f>SUM(H47:H55)</f>
        <v>1</v>
      </c>
      <c r="I56" s="886">
        <f>SUM(I47:I55)</f>
        <v>0.99999999999999967</v>
      </c>
      <c r="J56" s="887">
        <f>MIN(0.3*LargeUrban!B57,LargeUrban!I57*Assumptions!$D$11)</f>
        <v>3733028.2307950393</v>
      </c>
      <c r="K56" s="887"/>
      <c r="L56" s="888">
        <f>SUM(L47:L55)</f>
        <v>475165.27898527612</v>
      </c>
      <c r="M56" s="880">
        <f>SUM(M47:M55)</f>
        <v>1</v>
      </c>
      <c r="N56" s="889">
        <f>MIN(0.3*B56,M56*Assumptions!$C$20)</f>
        <v>15809527.199999999</v>
      </c>
      <c r="O56" s="889"/>
      <c r="P56" s="890">
        <f>SUM(P47:P55)</f>
        <v>212984.81824649757</v>
      </c>
      <c r="R56" s="453">
        <f>SUM(R47:R55)</f>
        <v>59875823</v>
      </c>
      <c r="S56" s="453">
        <f t="shared" ref="S56:U56" si="101">SUM(S47:S55)</f>
        <v>9171622</v>
      </c>
      <c r="T56" s="453">
        <f t="shared" si="101"/>
        <v>532451</v>
      </c>
      <c r="U56" s="453">
        <f t="shared" si="101"/>
        <v>6738824</v>
      </c>
      <c r="V56" s="453">
        <f>SUM(V47:V55)</f>
        <v>15593548</v>
      </c>
      <c r="W56" s="461" t="s">
        <v>122</v>
      </c>
      <c r="X56" s="474">
        <f t="shared" si="72"/>
        <v>17.225288336391518</v>
      </c>
      <c r="Y56" s="474">
        <f t="shared" si="73"/>
        <v>1.3610122478343403</v>
      </c>
      <c r="Z56" s="475">
        <f t="shared" si="74"/>
        <v>112.45320790082091</v>
      </c>
      <c r="AA56" s="475">
        <f t="shared" si="75"/>
        <v>8.8852035607399742</v>
      </c>
      <c r="AB56" s="475">
        <f t="shared" si="76"/>
        <v>6.5283788407328602</v>
      </c>
      <c r="AC56" s="475">
        <f t="shared" ref="AC56" si="102">S56/T56</f>
        <v>17.225288336391518</v>
      </c>
      <c r="AD56" s="475">
        <f t="shared" ref="AD56" si="103">T56/U56</f>
        <v>7.9012450837119358E-2</v>
      </c>
      <c r="AE56" s="479">
        <f>SUM(AE47:AE55)</f>
        <v>4</v>
      </c>
      <c r="AF56" s="479">
        <f t="shared" ref="AF56" si="104">SUM(AF47:AF55)</f>
        <v>4</v>
      </c>
      <c r="AG56" s="479">
        <f t="shared" ref="AG56" si="105">SUM(AG47:AG55)</f>
        <v>0</v>
      </c>
      <c r="AH56" s="479">
        <f t="shared" ref="AH56" si="106">SUM(AH47:AH55)</f>
        <v>0</v>
      </c>
      <c r="AI56" s="479">
        <f t="shared" ref="AI56" si="107">SUM(AI47:AI55)</f>
        <v>0</v>
      </c>
      <c r="AJ56" s="479">
        <f t="shared" ref="AJ56" si="108">SUM(AJ47:AJ55)</f>
        <v>2</v>
      </c>
      <c r="AK56" s="479">
        <f t="shared" ref="AK56" si="109">SUM(AK47:AK55)</f>
        <v>0</v>
      </c>
      <c r="AL56" s="507">
        <f>SUM(AL46:AL55)</f>
        <v>10</v>
      </c>
      <c r="AM56" s="959">
        <f>SUM(AM47:AM55)</f>
        <v>1.7808397708825332</v>
      </c>
      <c r="AN56" s="508">
        <f>SUM(AN47:AN55)</f>
        <v>1</v>
      </c>
      <c r="AO56" s="942">
        <f>SUM(AO47:AO55)</f>
        <v>807928.11457346263</v>
      </c>
      <c r="AP56" s="459">
        <f>SUM(AP47:AP55)</f>
        <v>15263803.236326965</v>
      </c>
      <c r="AQ56" s="451">
        <f>SUM(AQ47:AQ55)</f>
        <v>14562875</v>
      </c>
    </row>
    <row r="57" spans="1:45" hidden="1">
      <c r="A57" s="302"/>
      <c r="W57" s="461" t="s">
        <v>124</v>
      </c>
      <c r="X57" s="458">
        <f>MEDIAN(X47:X55)</f>
        <v>8.9334289529650324</v>
      </c>
      <c r="Y57" s="458">
        <f t="shared" ref="Y57:AD57" si="110">MEDIAN(Y47:Y55)</f>
        <v>0.9751021664138374</v>
      </c>
      <c r="Z57" s="458">
        <f t="shared" si="110"/>
        <v>108.98527619693715</v>
      </c>
      <c r="AA57" s="458">
        <f t="shared" si="110"/>
        <v>8.080800374832215</v>
      </c>
      <c r="AB57" s="458">
        <f t="shared" si="110"/>
        <v>10.647856055363322</v>
      </c>
      <c r="AC57" s="458">
        <f t="shared" si="110"/>
        <v>3.7264176910252771</v>
      </c>
      <c r="AD57" s="458">
        <f t="shared" si="110"/>
        <v>46.878217011242945</v>
      </c>
      <c r="AE57" s="482"/>
    </row>
    <row r="58" spans="1:45" hidden="1">
      <c r="A58" s="302"/>
      <c r="W58" s="461" t="s">
        <v>126</v>
      </c>
      <c r="X58" s="458">
        <f>AVERAGE(X47:X55)</f>
        <v>14.132554684226822</v>
      </c>
      <c r="Y58" s="458">
        <f t="shared" ref="Y58:AD58" si="111">AVERAGE(Y47:Y55)</f>
        <v>1.1853198349398504</v>
      </c>
      <c r="Z58" s="458">
        <f t="shared" si="111"/>
        <v>102.20109952653235</v>
      </c>
      <c r="AA58" s="458">
        <f t="shared" si="111"/>
        <v>8.3288146102714666</v>
      </c>
      <c r="AB58" s="458">
        <f t="shared" si="111"/>
        <v>10.238558525512392</v>
      </c>
      <c r="AC58" s="458">
        <f t="shared" si="111"/>
        <v>3.9648633197339422</v>
      </c>
      <c r="AD58" s="458">
        <f t="shared" si="111"/>
        <v>48.36922708477907</v>
      </c>
    </row>
    <row r="59" spans="1:45" hidden="1">
      <c r="A59" s="302"/>
      <c r="W59" s="462" t="s">
        <v>65</v>
      </c>
      <c r="X59" s="458">
        <f>PERCENTILE(X46:X55,$AF59)</f>
        <v>10.551743051404781</v>
      </c>
      <c r="Y59" s="458">
        <f>PERCENTILE(Y46:Y55,$AF59)</f>
        <v>1.0354741619250845</v>
      </c>
      <c r="Z59" s="464">
        <f>PERCENTILE(Z46:Z55,(1-$AF59))</f>
        <v>97.894547696976829</v>
      </c>
      <c r="AA59" s="464">
        <f>PERCENTILE(AA46:AA55,(1-$AF59))</f>
        <v>7.724863794147387</v>
      </c>
      <c r="AB59" s="464">
        <f>PERCENTILE(AB46:AB55,(1-$AF59))</f>
        <v>9.4201703610201069</v>
      </c>
      <c r="AC59" s="464">
        <f>PERCENTILE(AC47:AC55,$AF59)</f>
        <v>4.0531604238616659</v>
      </c>
      <c r="AD59" s="464">
        <f t="shared" ref="AD59" si="112">PERCENTILE(AD47:AD55,$AF59)</f>
        <v>48.187270138531943</v>
      </c>
      <c r="AE59" s="480" t="s">
        <v>151</v>
      </c>
      <c r="AF59" s="531">
        <f>W7</f>
        <v>0.6</v>
      </c>
      <c r="AG59" s="237" t="s">
        <v>152</v>
      </c>
    </row>
    <row r="60" spans="1:45" hidden="1">
      <c r="A60" s="302"/>
      <c r="W60" s="533" t="s">
        <v>127</v>
      </c>
      <c r="X60" s="469">
        <v>10.035525194955138</v>
      </c>
      <c r="Y60" s="469">
        <v>0.97988700610826451</v>
      </c>
      <c r="Z60" s="469">
        <v>85.553998933359125</v>
      </c>
      <c r="AA60" s="469">
        <v>7.2518631240647249</v>
      </c>
      <c r="AB60" s="469">
        <v>10.502066583166595</v>
      </c>
      <c r="AC60" s="469">
        <v>3.6175034467464808</v>
      </c>
      <c r="AD60" s="469">
        <v>46.441865968813282</v>
      </c>
      <c r="AE60" s="237" t="s">
        <v>128</v>
      </c>
    </row>
    <row r="61" spans="1:45">
      <c r="A61" s="302"/>
      <c r="W61" s="302"/>
      <c r="X61" s="302"/>
      <c r="Y61" s="302"/>
      <c r="Z61" s="302"/>
      <c r="AA61" s="302"/>
      <c r="AB61" s="302"/>
      <c r="AC61" s="302"/>
      <c r="AD61" s="302"/>
      <c r="AE61" s="302"/>
      <c r="AF61" s="302"/>
      <c r="AG61" s="302"/>
      <c r="AH61" s="302"/>
      <c r="AI61" s="302"/>
      <c r="AJ61" s="302"/>
      <c r="AK61" s="302"/>
      <c r="AL61" s="302"/>
      <c r="AM61" s="302"/>
      <c r="AN61" s="302"/>
      <c r="AO61" s="302"/>
      <c r="AP61" s="302"/>
      <c r="AQ61" s="302"/>
      <c r="AR61" s="302"/>
      <c r="AS61" s="302"/>
    </row>
    <row r="62" spans="1:45">
      <c r="A62" s="302"/>
      <c r="W62" s="302"/>
      <c r="X62" s="302"/>
      <c r="Y62" s="302"/>
      <c r="Z62" s="302"/>
      <c r="AA62" s="302"/>
      <c r="AB62" s="302"/>
      <c r="AC62" s="302"/>
      <c r="AD62" s="302"/>
      <c r="AE62" s="302"/>
      <c r="AF62" s="302"/>
      <c r="AG62" s="302"/>
      <c r="AH62" s="302"/>
      <c r="AI62" s="302"/>
      <c r="AJ62" s="302"/>
      <c r="AK62" s="302"/>
      <c r="AL62" s="302"/>
      <c r="AM62" s="302"/>
      <c r="AN62" s="302"/>
      <c r="AO62" s="302"/>
      <c r="AP62" s="302"/>
      <c r="AQ62" s="302"/>
      <c r="AR62" s="302"/>
      <c r="AS62" s="302"/>
    </row>
    <row r="68" spans="1:1">
      <c r="A68" s="237" t="s">
        <v>78</v>
      </c>
    </row>
    <row r="69" spans="1:1">
      <c r="A69" s="237" t="s">
        <v>79</v>
      </c>
    </row>
  </sheetData>
  <sheetProtection algorithmName="SHA-512" hashValue="mitT7M4lp4Ir/VCwKR5nHikHYLzxUjllYnWv1M4uMLPU8jCQQC5yd7vZm8JQ9Kxtyy9LhxD9b/YcuqhJUYFkEg==" saltValue="fI/ZR6AkKoIJ6gjKakal8A==" spinCount="100000" sheet="1" objects="1" scenarios="1"/>
  <mergeCells count="13">
    <mergeCell ref="B45:H45"/>
    <mergeCell ref="I45:L45"/>
    <mergeCell ref="M45:P45"/>
    <mergeCell ref="B28:H28"/>
    <mergeCell ref="I28:L28"/>
    <mergeCell ref="M28:P28"/>
    <mergeCell ref="M1:P1"/>
    <mergeCell ref="M6:P6"/>
    <mergeCell ref="I7:L7"/>
    <mergeCell ref="M7:P7"/>
    <mergeCell ref="B11:H11"/>
    <mergeCell ref="I11:L11"/>
    <mergeCell ref="M11:P11"/>
  </mergeCells>
  <conditionalFormatting sqref="Q9">
    <cfRule type="cellIs" dxfId="88" priority="54" operator="notEqual">
      <formula>1</formula>
    </cfRule>
  </conditionalFormatting>
  <conditionalFormatting sqref="Q10">
    <cfRule type="expression" dxfId="87" priority="53">
      <formula>$Q$9&lt;&gt; 100%</formula>
    </cfRule>
  </conditionalFormatting>
  <conditionalFormatting sqref="R8">
    <cfRule type="expression" dxfId="86" priority="55">
      <formula>$Q$9&lt;&gt; 100%</formula>
    </cfRule>
  </conditionalFormatting>
  <conditionalFormatting sqref="W7">
    <cfRule type="expression" dxfId="85" priority="24">
      <formula>$W$6="PERCENTILE"</formula>
    </cfRule>
  </conditionalFormatting>
  <conditionalFormatting sqref="X7">
    <cfRule type="expression" dxfId="84" priority="26">
      <formula>$W$6="PERCENTILE"</formula>
    </cfRule>
  </conditionalFormatting>
  <conditionalFormatting sqref="X13:X23 X23:AD23">
    <cfRule type="expression" dxfId="83" priority="50">
      <formula>"&gt;$W$21"</formula>
    </cfRule>
  </conditionalFormatting>
  <conditionalFormatting sqref="X30:X40">
    <cfRule type="expression" dxfId="82" priority="43">
      <formula>"&gt;$W$21"</formula>
    </cfRule>
  </conditionalFormatting>
  <conditionalFormatting sqref="X47:X57">
    <cfRule type="expression" dxfId="81" priority="39">
      <formula>"&gt;$W$21"</formula>
    </cfRule>
  </conditionalFormatting>
  <conditionalFormatting sqref="X10:AD10">
    <cfRule type="cellIs" dxfId="80" priority="31" operator="equal">
      <formula>"No"</formula>
    </cfRule>
  </conditionalFormatting>
  <conditionalFormatting sqref="Y40:AD40">
    <cfRule type="expression" dxfId="79" priority="23">
      <formula>"&gt;$W$21"</formula>
    </cfRule>
  </conditionalFormatting>
  <conditionalFormatting sqref="Y57:AD57">
    <cfRule type="expression" dxfId="78" priority="22">
      <formula>"&gt;$W$21"</formula>
    </cfRule>
  </conditionalFormatting>
  <conditionalFormatting sqref="AE13:AK22">
    <cfRule type="cellIs" dxfId="77" priority="3" operator="equal">
      <formula>1</formula>
    </cfRule>
  </conditionalFormatting>
  <conditionalFormatting sqref="AE30:AK39">
    <cfRule type="cellIs" dxfId="76" priority="2" operator="equal">
      <formula>1</formula>
    </cfRule>
  </conditionalFormatting>
  <conditionalFormatting sqref="AE47:AK56">
    <cfRule type="cellIs" dxfId="75" priority="1" operator="equal">
      <formula>1</formula>
    </cfRule>
  </conditionalFormatting>
  <conditionalFormatting sqref="AF1">
    <cfRule type="expression" dxfId="74" priority="115">
      <formula>$X10="No"</formula>
    </cfRule>
  </conditionalFormatting>
  <conditionalFormatting sqref="AF2">
    <cfRule type="expression" dxfId="73" priority="116">
      <formula>$Y10="No"</formula>
    </cfRule>
  </conditionalFormatting>
  <conditionalFormatting sqref="AF3">
    <cfRule type="expression" dxfId="72" priority="117">
      <formula>$Z10="No"</formula>
    </cfRule>
  </conditionalFormatting>
  <conditionalFormatting sqref="AF4">
    <cfRule type="expression" dxfId="71" priority="118">
      <formula>$AA10="No"</formula>
    </cfRule>
  </conditionalFormatting>
  <conditionalFormatting sqref="AF5">
    <cfRule type="expression" dxfId="70" priority="119">
      <formula>$AB10="No"</formula>
    </cfRule>
  </conditionalFormatting>
  <conditionalFormatting sqref="AL13:AL21">
    <cfRule type="cellIs" dxfId="69" priority="17" operator="equal">
      <formula>0</formula>
    </cfRule>
  </conditionalFormatting>
  <conditionalFormatting sqref="AL30:AL38">
    <cfRule type="cellIs" dxfId="68" priority="14" operator="equal">
      <formula>0</formula>
    </cfRule>
  </conditionalFormatting>
  <conditionalFormatting sqref="AL47:AL55">
    <cfRule type="cellIs" dxfId="67" priority="9" operator="equal">
      <formula>0</formula>
    </cfRule>
  </conditionalFormatting>
  <conditionalFormatting sqref="AM39">
    <cfRule type="cellIs" dxfId="66" priority="29" operator="equal">
      <formula>1</formula>
    </cfRule>
  </conditionalFormatting>
  <conditionalFormatting sqref="AM56">
    <cfRule type="cellIs" dxfId="65" priority="12" operator="equal">
      <formula>1</formula>
    </cfRule>
  </conditionalFormatting>
  <conditionalFormatting sqref="AQ13:AQ21">
    <cfRule type="expression" dxfId="64" priority="51">
      <formula>"&gt;$W$21"</formula>
    </cfRule>
  </conditionalFormatting>
  <conditionalFormatting sqref="AQ30:AQ38">
    <cfRule type="expression" dxfId="63" priority="8">
      <formula>"&gt;$W$21"</formula>
    </cfRule>
  </conditionalFormatting>
  <conditionalFormatting sqref="AQ47:AQ55">
    <cfRule type="expression" dxfId="62" priority="5">
      <formula>"&gt;$W$21"</formula>
    </cfRule>
  </conditionalFormatting>
  <conditionalFormatting sqref="AT13:AT21">
    <cfRule type="cellIs" dxfId="61" priority="6" operator="lessThan">
      <formula>-0.05</formula>
    </cfRule>
  </conditionalFormatting>
  <conditionalFormatting sqref="AT30:AT38">
    <cfRule type="cellIs" dxfId="60" priority="4" operator="lessThan">
      <formula>-0.05</formula>
    </cfRule>
  </conditionalFormatting>
  <dataValidations count="2">
    <dataValidation type="list" allowBlank="1" showInputMessage="1" showErrorMessage="1" sqref="W6" xr:uid="{062BF2B8-5662-4F7A-80D0-4E979D3ECF31}">
      <formula1>$W$22:$W$26</formula1>
    </dataValidation>
    <dataValidation type="list" allowBlank="1" showInputMessage="1" showErrorMessage="1" sqref="X10:AD10" xr:uid="{912BFC60-9A61-4829-9DF9-81C0D310D686}">
      <formula1>$A$68:$A$69</formula1>
    </dataValidation>
  </dataValidations>
  <pageMargins left="0.2" right="0.2" top="0.75" bottom="0.75" header="0.3" footer="0.3"/>
  <pageSetup scale="67" orientation="landscape" r:id="rId1"/>
  <ignoredErrors>
    <ignoredError sqref="Q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601EB-F6E8-430D-BE27-FD71D40DBEF0}">
  <sheetPr>
    <tabColor rgb="FF7030A0"/>
    <pageSetUpPr fitToPage="1"/>
  </sheetPr>
  <dimension ref="A1:AP106"/>
  <sheetViews>
    <sheetView topLeftCell="A7" zoomScale="85" zoomScaleNormal="85" workbookViewId="0">
      <pane xSplit="21" topLeftCell="V1" activePane="topRight" state="frozen"/>
      <selection activeCell="A3" sqref="A3"/>
      <selection pane="topRight" activeCell="W37" sqref="W37:AA37"/>
    </sheetView>
  </sheetViews>
  <sheetFormatPr defaultRowHeight="12.75"/>
  <cols>
    <col min="1" max="1" width="55" customWidth="1"/>
    <col min="2" max="2" width="14.7109375" hidden="1" customWidth="1"/>
    <col min="3" max="3" width="13.42578125" hidden="1" customWidth="1"/>
    <col min="4" max="4" width="11.5703125" hidden="1" customWidth="1"/>
    <col min="5" max="6" width="12.5703125" hidden="1" customWidth="1"/>
    <col min="7" max="7" width="12.85546875" hidden="1" customWidth="1"/>
    <col min="8" max="8" width="13.42578125" hidden="1" customWidth="1"/>
    <col min="9" max="9" width="17.140625" hidden="1" customWidth="1"/>
    <col min="10" max="10" width="18.140625" hidden="1" customWidth="1"/>
    <col min="11" max="11" width="17.28515625" hidden="1" customWidth="1"/>
    <col min="12" max="12" width="16.5703125" hidden="1" customWidth="1"/>
    <col min="13" max="13" width="17.140625" hidden="1" customWidth="1"/>
    <col min="14" max="14" width="15.140625" hidden="1" customWidth="1"/>
    <col min="15" max="15" width="17.28515625" hidden="1" customWidth="1"/>
    <col min="16" max="16" width="16.5703125" hidden="1" customWidth="1"/>
    <col min="17" max="17" width="18.140625" hidden="1" customWidth="1"/>
    <col min="18" max="18" width="16.42578125" hidden="1" customWidth="1"/>
    <col min="19" max="19" width="14.28515625" hidden="1" customWidth="1"/>
    <col min="20" max="20" width="13.42578125" hidden="1" customWidth="1"/>
    <col min="21" max="21" width="13.7109375" hidden="1" customWidth="1"/>
    <col min="22" max="22" width="15.7109375" customWidth="1"/>
    <col min="23" max="27" width="10" customWidth="1"/>
    <col min="28" max="32" width="10.140625" customWidth="1"/>
    <col min="33" max="33" width="11" customWidth="1"/>
    <col min="34" max="34" width="11.5703125" hidden="1" customWidth="1"/>
    <col min="35" max="35" width="14.7109375" customWidth="1"/>
    <col min="36" max="37" width="15.42578125" customWidth="1"/>
    <col min="38" max="39" width="14" customWidth="1"/>
    <col min="40" max="40" width="13.5703125" customWidth="1"/>
    <col min="41" max="41" width="10.7109375" customWidth="1"/>
    <col min="42" max="42" width="9.140625" hidden="1" customWidth="1"/>
    <col min="43" max="43" width="9.140625" customWidth="1"/>
  </cols>
  <sheetData>
    <row r="1" spans="1:42" ht="17.25">
      <c r="A1" s="301" t="s">
        <v>0</v>
      </c>
      <c r="B1" s="301"/>
      <c r="C1" s="301"/>
      <c r="D1" s="301"/>
      <c r="E1" s="301"/>
      <c r="F1" s="301"/>
      <c r="G1" s="301"/>
      <c r="H1" s="336"/>
      <c r="I1" s="301"/>
      <c r="J1" s="303"/>
      <c r="K1" s="303"/>
      <c r="L1" s="303"/>
      <c r="M1" s="1164" t="s">
        <v>62</v>
      </c>
      <c r="N1" s="1164"/>
      <c r="O1" s="1164"/>
      <c r="P1" s="1164"/>
      <c r="Q1" s="303"/>
      <c r="V1" s="302"/>
      <c r="W1" s="302"/>
      <c r="X1" s="302"/>
      <c r="Y1" s="302"/>
      <c r="Z1" s="302"/>
      <c r="AA1" s="302"/>
      <c r="AB1" s="302"/>
      <c r="AC1" s="983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237"/>
    </row>
    <row r="2" spans="1:42" ht="20.25">
      <c r="A2" s="337" t="s">
        <v>63</v>
      </c>
      <c r="B2" s="301"/>
      <c r="C2" s="301"/>
      <c r="D2" s="301"/>
      <c r="E2" s="301"/>
      <c r="F2" s="301"/>
      <c r="G2" s="301"/>
      <c r="H2" s="336"/>
      <c r="I2" s="301"/>
      <c r="J2" s="303"/>
      <c r="K2" s="303"/>
      <c r="L2" s="303"/>
      <c r="M2" s="303"/>
      <c r="N2" s="303"/>
      <c r="O2" s="303"/>
      <c r="P2" s="303"/>
      <c r="Q2" s="302"/>
      <c r="V2" s="302"/>
      <c r="W2" s="302"/>
      <c r="X2" s="302"/>
      <c r="Y2" s="302"/>
      <c r="Z2" s="302"/>
      <c r="AA2" s="302"/>
      <c r="AB2" s="302"/>
      <c r="AC2" s="983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237"/>
    </row>
    <row r="3" spans="1:42" ht="17.25">
      <c r="A3" s="338" t="s">
        <v>186</v>
      </c>
      <c r="B3" s="301"/>
      <c r="C3" s="301"/>
      <c r="D3" s="301"/>
      <c r="E3" s="301"/>
      <c r="F3" s="301"/>
      <c r="G3" s="301"/>
      <c r="H3" s="336"/>
      <c r="I3" s="301"/>
      <c r="J3" s="303"/>
      <c r="K3" s="303"/>
      <c r="L3" s="303"/>
      <c r="M3" s="303"/>
      <c r="N3" s="303"/>
      <c r="O3" s="302"/>
      <c r="P3" s="302"/>
      <c r="Q3" s="302"/>
      <c r="V3" s="302"/>
      <c r="W3" s="302"/>
      <c r="X3" s="302"/>
      <c r="Y3" s="302"/>
      <c r="Z3" s="302"/>
      <c r="AA3" s="302"/>
      <c r="AB3" s="302"/>
      <c r="AC3" s="983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</row>
    <row r="4" spans="1:42" ht="17.25">
      <c r="A4" s="339">
        <f ca="1">TODAY()</f>
        <v>46199</v>
      </c>
      <c r="B4" s="301"/>
      <c r="C4" s="301"/>
      <c r="D4" s="301"/>
      <c r="E4" s="301"/>
      <c r="F4" s="301"/>
      <c r="G4" s="301"/>
      <c r="H4" s="336"/>
      <c r="I4" s="301"/>
      <c r="J4" s="303"/>
      <c r="K4" s="303"/>
      <c r="L4" s="303"/>
      <c r="M4" s="303"/>
      <c r="N4" s="303"/>
      <c r="O4" s="302"/>
      <c r="P4" s="302"/>
      <c r="Q4" s="302"/>
      <c r="V4" s="302"/>
      <c r="W4" s="302"/>
      <c r="X4" s="302"/>
      <c r="Y4" s="302"/>
      <c r="Z4" s="302"/>
      <c r="AA4" s="302"/>
      <c r="AB4" s="302"/>
      <c r="AC4" s="983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</row>
    <row r="5" spans="1:42" ht="17.25">
      <c r="B5" s="301"/>
      <c r="C5" s="301"/>
      <c r="D5" s="301"/>
      <c r="E5" s="301"/>
      <c r="F5" s="301"/>
      <c r="G5" s="301"/>
      <c r="H5" s="336"/>
      <c r="I5" s="301"/>
      <c r="J5" s="303"/>
      <c r="K5" s="303"/>
      <c r="L5" s="303"/>
      <c r="M5" s="303"/>
      <c r="N5" s="303"/>
      <c r="O5" s="302"/>
      <c r="P5" s="302"/>
      <c r="Q5" s="302"/>
      <c r="V5" s="302"/>
      <c r="W5" s="302"/>
      <c r="X5" s="302"/>
      <c r="Y5" s="302"/>
      <c r="Z5" s="302"/>
      <c r="AA5" s="302"/>
      <c r="AB5" s="302"/>
      <c r="AC5" s="983"/>
      <c r="AD5" s="302"/>
      <c r="AE5" s="302"/>
      <c r="AF5" s="302"/>
      <c r="AG5" s="302"/>
      <c r="AH5" s="302"/>
      <c r="AI5" s="302"/>
      <c r="AJ5" s="302"/>
      <c r="AK5" s="302"/>
      <c r="AL5" s="302"/>
      <c r="AM5" s="302"/>
      <c r="AN5" s="302"/>
      <c r="AO5" s="302"/>
    </row>
    <row r="6" spans="1:42" ht="18" thickBot="1">
      <c r="A6" s="340"/>
      <c r="B6" s="301"/>
      <c r="C6" s="301"/>
      <c r="D6" s="301"/>
      <c r="E6" s="301"/>
      <c r="F6" s="301"/>
      <c r="G6" s="301"/>
      <c r="H6" s="336"/>
      <c r="I6" s="301"/>
      <c r="J6" s="303"/>
      <c r="K6" s="303"/>
      <c r="L6" s="303"/>
      <c r="M6" s="1163" t="s">
        <v>69</v>
      </c>
      <c r="N6" s="1163"/>
      <c r="O6" s="1163"/>
      <c r="P6" s="1163"/>
      <c r="Q6" s="302"/>
      <c r="V6" s="1089" t="s">
        <v>65</v>
      </c>
      <c r="W6" s="984" t="s">
        <v>66</v>
      </c>
      <c r="X6" s="302"/>
      <c r="Y6" s="302"/>
      <c r="Z6" s="302"/>
      <c r="AA6" s="302"/>
      <c r="AB6" s="983"/>
      <c r="AC6" s="302"/>
      <c r="AD6" s="302"/>
      <c r="AE6" s="302"/>
      <c r="AF6" s="302"/>
      <c r="AG6" s="1075">
        <v>6</v>
      </c>
      <c r="AI6" s="467" t="s">
        <v>67</v>
      </c>
      <c r="AJ6" s="302"/>
      <c r="AK6" s="302"/>
      <c r="AL6" s="302"/>
      <c r="AM6" s="302"/>
      <c r="AN6" s="302"/>
      <c r="AO6" s="302"/>
    </row>
    <row r="7" spans="1:42" ht="17.25" thickBot="1">
      <c r="A7" s="301"/>
      <c r="B7" s="341"/>
      <c r="C7" s="302"/>
      <c r="D7" s="302"/>
      <c r="E7" s="302"/>
      <c r="F7" s="302"/>
      <c r="G7" s="302"/>
      <c r="I7" s="1170" t="s">
        <v>70</v>
      </c>
      <c r="J7" s="1171"/>
      <c r="K7" s="1171"/>
      <c r="L7" s="1171"/>
      <c r="M7" s="1168" t="s">
        <v>71</v>
      </c>
      <c r="N7" s="1168"/>
      <c r="O7" s="1168"/>
      <c r="P7" s="1169"/>
      <c r="Q7" s="309"/>
      <c r="V7" s="1074">
        <v>0.6</v>
      </c>
      <c r="W7" s="985" t="s">
        <v>68</v>
      </c>
      <c r="X7" s="302"/>
      <c r="Y7" s="302"/>
      <c r="Z7" s="302"/>
      <c r="AA7" s="302"/>
      <c r="AB7" s="983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</row>
    <row r="8" spans="1:42" ht="20.45" customHeight="1" thickBot="1">
      <c r="A8" s="301"/>
      <c r="B8" s="342"/>
      <c r="C8" s="302"/>
      <c r="D8" s="302"/>
      <c r="E8" s="302"/>
      <c r="F8" s="302"/>
      <c r="G8" s="302"/>
      <c r="I8" s="343" t="s">
        <v>72</v>
      </c>
      <c r="J8" s="315" t="s">
        <v>73</v>
      </c>
      <c r="K8" s="315" t="s">
        <v>74</v>
      </c>
      <c r="L8" s="315" t="s">
        <v>75</v>
      </c>
      <c r="M8" s="315" t="s">
        <v>72</v>
      </c>
      <c r="N8" s="315" t="s">
        <v>73</v>
      </c>
      <c r="O8" s="315" t="s">
        <v>74</v>
      </c>
      <c r="P8" s="316" t="s">
        <v>75</v>
      </c>
      <c r="Q8" s="319" t="s">
        <v>76</v>
      </c>
      <c r="R8" s="265"/>
      <c r="V8" s="1088"/>
      <c r="W8" s="302"/>
      <c r="X8" s="302"/>
      <c r="Y8" s="302"/>
      <c r="Z8" s="302"/>
      <c r="AA8" s="302"/>
      <c r="AB8" s="983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2"/>
    </row>
    <row r="9" spans="1:42" ht="14.45" customHeight="1" thickBot="1">
      <c r="A9" s="301"/>
      <c r="B9" s="301"/>
      <c r="C9" s="302"/>
      <c r="D9" s="302"/>
      <c r="E9" s="302"/>
      <c r="F9" s="302"/>
      <c r="G9" s="302"/>
      <c r="I9" s="344">
        <v>0.5</v>
      </c>
      <c r="J9" s="345">
        <v>0.3</v>
      </c>
      <c r="K9" s="345">
        <v>0.1</v>
      </c>
      <c r="L9" s="345">
        <v>0.1</v>
      </c>
      <c r="M9" s="317">
        <v>0.45</v>
      </c>
      <c r="N9" s="317">
        <v>0.25</v>
      </c>
      <c r="O9" s="317">
        <v>0.15</v>
      </c>
      <c r="P9" s="318">
        <v>0.15</v>
      </c>
      <c r="Q9" s="310">
        <f>SUM(M9:P9)</f>
        <v>1</v>
      </c>
      <c r="V9" s="302"/>
      <c r="W9" s="302"/>
      <c r="X9" s="302"/>
      <c r="Y9" s="302"/>
      <c r="Z9" s="302"/>
      <c r="AA9" s="302"/>
      <c r="AB9" s="983"/>
      <c r="AC9" s="302"/>
      <c r="AD9" s="302"/>
      <c r="AE9" s="302"/>
      <c r="AF9" s="302"/>
      <c r="AG9" s="302"/>
      <c r="AH9" s="302"/>
      <c r="AI9" s="302"/>
      <c r="AJ9" s="302"/>
      <c r="AK9" s="302"/>
      <c r="AL9" s="302"/>
      <c r="AM9" s="302"/>
      <c r="AN9" s="302"/>
      <c r="AO9" s="302"/>
    </row>
    <row r="10" spans="1:42" ht="36.75" customHeight="1" thickBot="1">
      <c r="A10" s="301"/>
      <c r="B10" s="301"/>
      <c r="C10" s="302"/>
      <c r="D10" s="302"/>
      <c r="E10" s="302"/>
      <c r="F10" s="302"/>
      <c r="G10" s="302"/>
      <c r="I10" s="304"/>
      <c r="J10" s="304"/>
      <c r="K10" s="304"/>
      <c r="L10" s="304"/>
      <c r="M10" s="304"/>
      <c r="N10" s="304"/>
      <c r="O10" s="305"/>
      <c r="P10" s="302"/>
      <c r="Q10" s="328" t="s">
        <v>77</v>
      </c>
      <c r="V10" s="302"/>
      <c r="W10" s="1073" t="s">
        <v>79</v>
      </c>
      <c r="X10" s="1073" t="s">
        <v>79</v>
      </c>
      <c r="Y10" s="1073" t="s">
        <v>78</v>
      </c>
      <c r="Z10" s="1073" t="s">
        <v>78</v>
      </c>
      <c r="AA10" s="1073" t="s">
        <v>78</v>
      </c>
      <c r="AB10" s="461"/>
      <c r="AC10" s="302"/>
      <c r="AD10" s="302"/>
      <c r="AE10" s="302"/>
      <c r="AF10" s="302"/>
      <c r="AG10" s="1006" t="s">
        <v>80</v>
      </c>
      <c r="AH10" s="1153"/>
      <c r="AI10" s="1152">
        <f>Assumptions!E10+P33</f>
        <v>612438.22890536068</v>
      </c>
      <c r="AJ10" s="989"/>
      <c r="AK10" s="989"/>
      <c r="AL10" s="302"/>
      <c r="AM10" s="302"/>
      <c r="AN10" s="302"/>
      <c r="AO10" s="302"/>
    </row>
    <row r="11" spans="1:42" ht="15" customHeight="1" thickBot="1">
      <c r="A11" s="336"/>
      <c r="B11" s="1158" t="s">
        <v>81</v>
      </c>
      <c r="C11" s="1159"/>
      <c r="D11" s="1159"/>
      <c r="E11" s="1159"/>
      <c r="F11" s="1159"/>
      <c r="G11" s="1160"/>
      <c r="H11" s="1160"/>
      <c r="I11" s="1161" t="s">
        <v>70</v>
      </c>
      <c r="J11" s="1161"/>
      <c r="K11" s="1161"/>
      <c r="L11" s="1161"/>
      <c r="M11" s="1162" t="s">
        <v>71</v>
      </c>
      <c r="N11" s="1162"/>
      <c r="O11" s="1162"/>
      <c r="P11" s="1162"/>
      <c r="Q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M11" s="302"/>
      <c r="AN11" s="302"/>
      <c r="AO11" s="302"/>
    </row>
    <row r="12" spans="1:42" ht="72" thickBot="1">
      <c r="A12" s="471" t="s">
        <v>82</v>
      </c>
      <c r="B12" s="346" t="s">
        <v>83</v>
      </c>
      <c r="C12" s="347" t="s">
        <v>84</v>
      </c>
      <c r="D12" s="347" t="s">
        <v>85</v>
      </c>
      <c r="E12" s="347" t="s">
        <v>86</v>
      </c>
      <c r="F12" s="347" t="s">
        <v>87</v>
      </c>
      <c r="G12" s="347" t="s">
        <v>88</v>
      </c>
      <c r="H12" s="347" t="s">
        <v>89</v>
      </c>
      <c r="I12" s="348" t="s">
        <v>90</v>
      </c>
      <c r="J12" s="349" t="s">
        <v>91</v>
      </c>
      <c r="K12" s="349"/>
      <c r="L12" s="350" t="s">
        <v>3</v>
      </c>
      <c r="M12" s="311" t="s">
        <v>92</v>
      </c>
      <c r="N12" s="327" t="s">
        <v>93</v>
      </c>
      <c r="O12" s="327"/>
      <c r="P12" s="312" t="s">
        <v>3</v>
      </c>
      <c r="Q12" s="302"/>
      <c r="R12" s="503" t="s">
        <v>94</v>
      </c>
      <c r="S12" s="503" t="s">
        <v>95</v>
      </c>
      <c r="T12" s="503" t="s">
        <v>96</v>
      </c>
      <c r="U12" s="503" t="s">
        <v>97</v>
      </c>
      <c r="V12" s="983"/>
      <c r="W12" s="990" t="s">
        <v>187</v>
      </c>
      <c r="X12" s="990" t="s">
        <v>188</v>
      </c>
      <c r="Y12" s="990" t="s">
        <v>189</v>
      </c>
      <c r="Z12" s="990" t="s">
        <v>190</v>
      </c>
      <c r="AA12" s="990" t="s">
        <v>191</v>
      </c>
      <c r="AB12" s="990" t="s">
        <v>106</v>
      </c>
      <c r="AC12" s="990" t="s">
        <v>107</v>
      </c>
      <c r="AD12" s="990" t="s">
        <v>108</v>
      </c>
      <c r="AE12" s="990" t="s">
        <v>109</v>
      </c>
      <c r="AF12" s="1078" t="s">
        <v>110</v>
      </c>
      <c r="AG12" s="1148" t="s">
        <v>113</v>
      </c>
      <c r="AH12" s="1079"/>
      <c r="AI12" s="1006" t="s">
        <v>114</v>
      </c>
      <c r="AJ12" s="990" t="s">
        <v>172</v>
      </c>
      <c r="AK12" s="990" t="s">
        <v>192</v>
      </c>
      <c r="AL12" s="911" t="s">
        <v>116</v>
      </c>
      <c r="AM12" s="1031" t="s">
        <v>117</v>
      </c>
      <c r="AN12" s="1032" t="s">
        <v>118</v>
      </c>
      <c r="AO12" s="1033" t="s">
        <v>119</v>
      </c>
      <c r="AP12" s="962" t="s">
        <v>120</v>
      </c>
    </row>
    <row r="13" spans="1:42" ht="14.25">
      <c r="A13" s="483" t="s">
        <v>59</v>
      </c>
      <c r="B13" s="351">
        <f>VLOOKUP($A13, 'Allocation Calculations_FY27'!$B$12:$G$50, 3, FALSE)</f>
        <v>83950</v>
      </c>
      <c r="C13" s="352">
        <f>VLOOKUP($A13, OpCost[], 10, FALSE)</f>
        <v>68556</v>
      </c>
      <c r="D13" s="353">
        <f>VLOOKUP($A13, Ridership[], 10, FALSE)</f>
        <v>5212.333333333333</v>
      </c>
      <c r="E13" s="353">
        <f>VLOOKUP($A13, VRHsizing[], 10, FALSE)</f>
        <v>948</v>
      </c>
      <c r="F13" s="353">
        <f>VLOOKUP($A13, VRMsizing[], 10, FALSE)</f>
        <v>10506.333333333334</v>
      </c>
      <c r="G13" s="354">
        <f>IFERROR($I$9*(C13/C$33),0) + IFERROR($J$9*(D13/D$33),0) + IFERROR($K$9*(E13/E$33),0) + IFERROR($L$9*(F13/F$33),0)</f>
        <v>2.1298743424348573E-3</v>
      </c>
      <c r="H13" s="354">
        <f>IFERROR($M$9*(C13/C$33),0) + IFERROR($N$9*(D13/D$33),0) + IFERROR($O$9*(E13/E$33),0) + IFERROR($P$9*(F13/F$33),0)</f>
        <v>2.0465052834916977E-3</v>
      </c>
      <c r="I13" s="355">
        <f>G13/SUM($G$13:$G$32)</f>
        <v>2.1298743424348573E-3</v>
      </c>
      <c r="J13" s="356">
        <f>MIN(0.3*Rural!B13,Rural!I13*Assumptions!$E$11)</f>
        <v>19659.19278323125</v>
      </c>
      <c r="K13" s="356"/>
      <c r="L13" s="357">
        <f>I13*Assumptions!$E$11-Rural!J13</f>
        <v>0</v>
      </c>
      <c r="M13" s="320">
        <f>H13/SUM($H$13:$H$32)</f>
        <v>2.0465052834916977E-3</v>
      </c>
      <c r="N13" s="325">
        <f>MIN(0.3*B13,M13*Assumptions!$E$11)</f>
        <v>18889.678653094124</v>
      </c>
      <c r="O13" s="325"/>
      <c r="P13" s="321">
        <f>M13*Assumptions!$E$11-N13</f>
        <v>0</v>
      </c>
      <c r="Q13" s="302"/>
      <c r="R13" s="450">
        <f>VLOOKUP($A13,OpCost[[Agency]:[FY25 Operating Cost Performance]], 5, FALSE)</f>
        <v>71294</v>
      </c>
      <c r="S13">
        <f>VLOOKUP($A13,Ridership[[Agency]:[FY25 Ridership]],6, FALSE)</f>
        <v>6249</v>
      </c>
      <c r="T13">
        <f>VLOOKUP($A13,VRH[[Agency]:[FY25 Revenue Hours]], 5, FALSE)</f>
        <v>953</v>
      </c>
      <c r="U13">
        <f>VLOOKUP($A13,VRM[[Agency]:[FY25 Revenue Miles]], 5, FALSE)</f>
        <v>13470</v>
      </c>
      <c r="V13" s="302"/>
      <c r="W13" s="991">
        <f>S13/T13</f>
        <v>6.5571878279118572</v>
      </c>
      <c r="X13" s="991">
        <f>S13/U13</f>
        <v>0.46391982182628061</v>
      </c>
      <c r="Y13" s="1077">
        <f>R13/T13</f>
        <v>74.810073452256034</v>
      </c>
      <c r="Z13" s="1077">
        <f>R13/U13</f>
        <v>5.2927988121752039</v>
      </c>
      <c r="AA13" s="1077">
        <f>R13/S13</f>
        <v>11.408865418466954</v>
      </c>
      <c r="AB13" s="1080">
        <f>IF(W$10="Yes",(IF($V$6="Weighted Average",IF(W13&gt;=W$33,1,0),IF($V$6="MEDIAN",IF(W13&gt;=W$34,1,0),IF($V$6="MEAN",IF(W13&gt;=W$35,1,0),IF($V$6="PERCENTILE",IF(W13&gt;=W$36,1,0),IF(W13&gt;=W$37,1,0)) )))), 0)</f>
        <v>0</v>
      </c>
      <c r="AC13" s="1080">
        <f t="shared" ref="AC13" si="0">IF(X$10="Yes",(IF($V$6="Weighted Average",IF(X13&gt;=X$33,1,0),IF($V$6="MEDIAN",IF(X13&gt;=X$34,1,0),IF($V$6="MEAN",IF(X13&gt;=X$35,1,0),IF($V$6="PERCENTILE",IF(X13&gt;=X$36,1,0),IF(X13&gt;=X$37,1,0)) )))), 0)</f>
        <v>0</v>
      </c>
      <c r="AD13" s="1080">
        <f>IF(Y$10="Yes",(IF($V$6="Weighted Average",IF(Y13&lt;=Y$33,1,0),IF($V$6="MEDIAN",IF(Y13&lt;=Y$34,1,0),IF($V$6="MEAN",IF(Y13&lt;=Y$35,1,0),IF($V$6="PERCENTILE",IF(Y13&lt;=Y$36,1,0),IF(Y13&lt;=Y$37,1,0)) )))), 0)</f>
        <v>0</v>
      </c>
      <c r="AE13" s="1080">
        <f>IF(Z$10="Yes",(IF($V$6="Weighted Average",IF(Z13&lt;=Z$33,1,0),IF($V$6="MEDIAN",IF(Z13&lt;=Z$34,1,0),IF($V$6="MEAN",IF(Z13&lt;=Z$35,1,0),IF($V$6="PERCENTILE",IF(Z13&lt;=Z$36,1,0),IF(Z13&lt;=Z$37,1,0)) )))), 0)</f>
        <v>0</v>
      </c>
      <c r="AF13" s="1081">
        <f>IF(AA$10="Yes",(IF($V$6="Weighted Average",IF(AA13&lt;=AA$33,1,0),IF($V$6="MEDIAN",IF(AA13&lt;=AA$34,1,0),IF($V$6="MEAN",IF(AA13&lt;=AA$35,1,0),IF($V$6="PERCENTILE",IF(AA13&lt;=AA$36,1,0),IF(AA13&lt;=AA$37,1,0)) )))), 0)</f>
        <v>1</v>
      </c>
      <c r="AG13" s="1008">
        <f>MIN(SUM(AB13:AF13),$AG$6)</f>
        <v>1</v>
      </c>
      <c r="AH13" s="1082">
        <f>M13*AG13</f>
        <v>2.0465052834916977E-3</v>
      </c>
      <c r="AI13" s="1009">
        <f>AH13/$AH$33</f>
        <v>2.2899867215458638E-3</v>
      </c>
      <c r="AJ13" s="1010">
        <f>AI13*$AI$10</f>
        <v>1402.4754119603422</v>
      </c>
      <c r="AK13" s="1083">
        <f>N13</f>
        <v>18889.678653094124</v>
      </c>
      <c r="AL13" s="961">
        <f>AJ13+N13</f>
        <v>20292.154065054467</v>
      </c>
      <c r="AM13" s="1020">
        <f>VLOOKUP(A13,'Allocation Calculations_FY27'!$B$12:$CH$50, 85, FALSE)</f>
        <v>20315.501356332319</v>
      </c>
      <c r="AN13" s="1021">
        <f>AL13-AM13</f>
        <v>-23.347291277852491</v>
      </c>
      <c r="AO13" s="1022">
        <f>AN13/AM13</f>
        <v>-1.1492352991118856E-3</v>
      </c>
      <c r="AP13" s="913">
        <f>(AL13-AL41)/AL41</f>
        <v>0.14327793852955095</v>
      </c>
    </row>
    <row r="14" spans="1:42" ht="14.25">
      <c r="A14" s="483" t="s">
        <v>41</v>
      </c>
      <c r="B14" s="351">
        <f>VLOOKUP($A14, 'Allocation Calculations_FY27'!$B$12:$G$50, 3, FALSE)</f>
        <v>214513</v>
      </c>
      <c r="C14" s="352">
        <f>VLOOKUP($A14, OpCost[], 10, FALSE)</f>
        <v>211869.66666666666</v>
      </c>
      <c r="D14" s="353">
        <f>VLOOKUP($A14, Ridership[], 10, FALSE)</f>
        <v>11475</v>
      </c>
      <c r="E14" s="353">
        <f>VLOOKUP($A14, VRHsizing[], 10, FALSE)</f>
        <v>2986.3333333333335</v>
      </c>
      <c r="F14" s="353">
        <f>VLOOKUP($A14, VRMsizing[], 10, FALSE)</f>
        <v>54121.666666666664</v>
      </c>
      <c r="G14" s="354">
        <f t="shared" ref="G14:G32" si="1">IFERROR($I$9*(C14/C$33),0) + IFERROR($J$9*(D14/D$33),0) + IFERROR($K$9*(E14/E$33),0) + IFERROR($L$9*(F14/F$33),0)</f>
        <v>6.0413570387775105E-3</v>
      </c>
      <c r="H14" s="354">
        <f t="shared" ref="H14:H32" si="2">IFERROR($M$9*(C14/C$33),0) + IFERROR($N$9*(D14/D$33),0) + IFERROR($O$9*(E14/E$33),0) + IFERROR($P$9*(F14/F$33),0)</f>
        <v>6.0512056649535025E-3</v>
      </c>
      <c r="I14" s="355">
        <f t="shared" ref="I14:I32" si="3">G14/SUM($G$13:$G$32)</f>
        <v>6.0413570387775105E-3</v>
      </c>
      <c r="J14" s="356">
        <f>MIN(0.3*Rural!B14,Rural!I14*Assumptions!$E$11)</f>
        <v>55763.009268369875</v>
      </c>
      <c r="K14" s="356"/>
      <c r="L14" s="357">
        <f>I14*Assumptions!$E$11-Rural!J14</f>
        <v>0</v>
      </c>
      <c r="M14" s="322">
        <f t="shared" ref="M14:M32" si="4">H14/SUM($H$13:$H$32)</f>
        <v>6.0512056649535025E-3</v>
      </c>
      <c r="N14" s="325">
        <f>MIN(0.3*B14,M14*Assumptions!$E$11)</f>
        <v>55853.914180827043</v>
      </c>
      <c r="O14" s="325"/>
      <c r="P14" s="321">
        <f>M14*Assumptions!$E$11-N14</f>
        <v>0</v>
      </c>
      <c r="Q14" s="302"/>
      <c r="R14" s="450">
        <f>VLOOKUP($A14,OpCost[[Agency]:[FY25 Operating Cost Performance]], 5, FALSE)</f>
        <v>225862</v>
      </c>
      <c r="S14">
        <f>VLOOKUP($A14,Ridership[[Agency]:[FY25 Ridership]],6, FALSE)</f>
        <v>11743</v>
      </c>
      <c r="T14">
        <f>VLOOKUP($A14,VRH[[Agency]:[FY25 Revenue Hours]], 5, FALSE)</f>
        <v>3025</v>
      </c>
      <c r="U14">
        <f>VLOOKUP($A14,VRM[[Agency]:[FY25 Revenue Miles]], 5, FALSE)</f>
        <v>53914</v>
      </c>
      <c r="V14" s="302"/>
      <c r="W14" s="991">
        <f t="shared" ref="W14:W33" si="5">S14/T14</f>
        <v>3.8819834710743804</v>
      </c>
      <c r="X14" s="991">
        <f t="shared" ref="X14:X33" si="6">S14/U14</f>
        <v>0.21780984530919612</v>
      </c>
      <c r="Y14" s="992">
        <f t="shared" ref="Y14:Y33" si="7">R14/T14</f>
        <v>74.665123966942147</v>
      </c>
      <c r="Z14" s="992">
        <f t="shared" ref="Z14:Z33" si="8">R14/U14</f>
        <v>4.1893014801350299</v>
      </c>
      <c r="AA14" s="992">
        <f t="shared" ref="AA14:AA33" si="9">R14/S14</f>
        <v>19.233756280337222</v>
      </c>
      <c r="AB14" s="1007">
        <f t="shared" ref="AB14:AB32" si="10">IF(W$10="Yes",(IF($V$6="Weighted Average",IF(W14&gt;=W$33,1,0),IF($V$6="MEDIAN",IF(W14&gt;=W$34,1,0),IF($V$6="MEAN",IF(W14&gt;=W$35,1,0),IF($V$6="PERCENTILE",IF(W14&gt;=W$36,1,0),IF(W14&gt;=W$37,1,0)) )))), 0)</f>
        <v>0</v>
      </c>
      <c r="AC14" s="1007">
        <f t="shared" ref="AC14:AC32" si="11">IF(X$10="Yes",(IF($V$6="Weighted Average",IF(X14&gt;=X$33,1,0),IF($V$6="MEDIAN",IF(X14&gt;=X$34,1,0),IF($V$6="MEAN",IF(X14&gt;=X$35,1,0),IF($V$6="PERCENTILE",IF(X14&gt;=X$36,1,0),IF(X14&gt;=X$37,1,0)) )))), 0)</f>
        <v>0</v>
      </c>
      <c r="AD14" s="1007">
        <f t="shared" ref="AD14:AD32" si="12">IF(Y$10="Yes",(IF($V$6="Weighted Average",IF(Y14&lt;=Y$33,1,0),IF($V$6="MEDIAN",IF(Y14&lt;=Y$34,1,0),IF($V$6="MEAN",IF(Y14&lt;=Y$35,1,0),IF($V$6="PERCENTILE",IF(Y14&lt;=Y$36,1,0),IF(Y14&lt;=Y$37,1,0)) )))), 0)</f>
        <v>0</v>
      </c>
      <c r="AE14" s="1007">
        <f t="shared" ref="AE14:AE32" si="13">IF(Z$10="Yes",(IF($V$6="Weighted Average",IF(Z14&lt;=Z$33,1,0),IF($V$6="MEDIAN",IF(Z14&lt;=Z$34,1,0),IF($V$6="MEAN",IF(Z14&lt;=Z$35,1,0),IF($V$6="PERCENTILE",IF(Z14&lt;=Z$36,1,0),IF(Z14&lt;=Z$37,1,0)) )))), 0)</f>
        <v>0</v>
      </c>
      <c r="AF14" s="1084">
        <f t="shared" ref="AF14:AF32" si="14">IF(AA$10="Yes",(IF($V$6="Weighted Average",IF(AA14&lt;=AA$33,1,0),IF($V$6="MEDIAN",IF(AA14&lt;=AA$34,1,0),IF($V$6="MEAN",IF(AA14&lt;=AA$35,1,0),IF($V$6="PERCENTILE",IF(AA14&lt;=AA$36,1,0),IF(AA14&lt;=AA$37,1,0)) )))), 0)</f>
        <v>0</v>
      </c>
      <c r="AG14" s="1008">
        <f t="shared" ref="AG14:AG32" si="15">MIN(SUM(AB14:AF14),$AG$6)</f>
        <v>0</v>
      </c>
      <c r="AH14" s="1082">
        <f t="shared" ref="AH14:AH32" si="16">M14*AG14</f>
        <v>0</v>
      </c>
      <c r="AI14" s="1011">
        <f t="shared" ref="AI14:AI32" si="17">AH14/$AH$33</f>
        <v>0</v>
      </c>
      <c r="AJ14" s="1012">
        <f t="shared" ref="AJ14:AJ33" si="18">AI14*$AI$10</f>
        <v>0</v>
      </c>
      <c r="AK14" s="1083">
        <f t="shared" ref="AK14:AK32" si="19">N14</f>
        <v>55853.914180827043</v>
      </c>
      <c r="AL14" s="912">
        <f t="shared" ref="AL14:AL32" si="20">AJ14+N14</f>
        <v>55853.914180827043</v>
      </c>
      <c r="AM14" s="1020">
        <f>VLOOKUP(A14,'Allocation Calculations_FY27'!$B$12:$CH$50, 85, FALSE)</f>
        <v>56037.932318187392</v>
      </c>
      <c r="AN14" s="1021">
        <f t="shared" ref="AN14:AN32" si="21">AL14-AM14</f>
        <v>-184.01813736034819</v>
      </c>
      <c r="AO14" s="1022">
        <f t="shared" ref="AO14:AO32" si="22">AN14/AM14</f>
        <v>-3.2838138337346217E-3</v>
      </c>
      <c r="AP14" s="913">
        <f t="shared" ref="AP14:AP32" si="23">(AL14-AL42)/AL42</f>
        <v>0.13085127200897459</v>
      </c>
    </row>
    <row r="15" spans="1:42" ht="14.25">
      <c r="A15" s="483" t="s">
        <v>57</v>
      </c>
      <c r="B15" s="351">
        <f>VLOOKUP($A15, 'Allocation Calculations_FY27'!$B$12:$G$50, 3, FALSE)</f>
        <v>537911</v>
      </c>
      <c r="C15" s="352">
        <f>VLOOKUP($A15, OpCost[], 10, FALSE)</f>
        <v>619736</v>
      </c>
      <c r="D15" s="353">
        <f>VLOOKUP($A15, Ridership[], 10, FALSE)</f>
        <v>28527.666666666668</v>
      </c>
      <c r="E15" s="353">
        <f>VLOOKUP($A15, VRHsizing[], 10, FALSE)</f>
        <v>15270.333333333334</v>
      </c>
      <c r="F15" s="353">
        <f>VLOOKUP($A15, VRMsizing[], 10, FALSE)</f>
        <v>402387</v>
      </c>
      <c r="G15" s="354">
        <f t="shared" si="1"/>
        <v>2.0995971298963342E-2</v>
      </c>
      <c r="H15" s="354">
        <f t="shared" si="2"/>
        <v>2.3271921251138618E-2</v>
      </c>
      <c r="I15" s="355">
        <f t="shared" si="3"/>
        <v>2.0995971298963342E-2</v>
      </c>
      <c r="J15" s="356">
        <f>MIN(0.3*Rural!B15,Rural!I15*Assumptions!$E$11)</f>
        <v>161373.29999999999</v>
      </c>
      <c r="K15" s="356"/>
      <c r="L15" s="357">
        <f>I15*Assumptions!$E$11-Rural!J15</f>
        <v>32423.976775324641</v>
      </c>
      <c r="M15" s="322">
        <f t="shared" si="4"/>
        <v>2.3271921251138618E-2</v>
      </c>
      <c r="N15" s="325">
        <f>MIN(0.3*B15,M15*Assumptions!$E$11)</f>
        <v>161373.29999999999</v>
      </c>
      <c r="O15" s="325"/>
      <c r="P15" s="321">
        <f>M15*Assumptions!$E$11-N15</f>
        <v>53431.478477819182</v>
      </c>
      <c r="Q15" s="302"/>
      <c r="R15" s="450">
        <f>VLOOKUP($A15,OpCost[[Agency]:[FY25 Operating Cost Performance]], 5, FALSE)</f>
        <v>604843</v>
      </c>
      <c r="S15">
        <f>VLOOKUP($A15,Ridership[[Agency]:[FY25 Ridership]],6, FALSE)</f>
        <v>28279</v>
      </c>
      <c r="T15">
        <f>VLOOKUP($A15,VRH[[Agency]:[FY25 Revenue Hours]], 5, FALSE)</f>
        <v>14739</v>
      </c>
      <c r="U15">
        <f>VLOOKUP($A15,VRM[[Agency]:[FY25 Revenue Miles]], 5, FALSE)</f>
        <v>413556</v>
      </c>
      <c r="V15" s="302"/>
      <c r="W15" s="991">
        <f t="shared" si="5"/>
        <v>1.9186511975032228</v>
      </c>
      <c r="X15" s="991">
        <f t="shared" si="6"/>
        <v>6.8380098463086014E-2</v>
      </c>
      <c r="Y15" s="992">
        <f t="shared" si="7"/>
        <v>41.036908881199537</v>
      </c>
      <c r="Z15" s="992">
        <f t="shared" si="8"/>
        <v>1.4625419532058537</v>
      </c>
      <c r="AA15" s="992">
        <f t="shared" si="9"/>
        <v>21.388415431945965</v>
      </c>
      <c r="AB15" s="1007">
        <f t="shared" si="10"/>
        <v>0</v>
      </c>
      <c r="AC15" s="1007">
        <f t="shared" si="11"/>
        <v>0</v>
      </c>
      <c r="AD15" s="1007">
        <f t="shared" si="12"/>
        <v>1</v>
      </c>
      <c r="AE15" s="1007">
        <f t="shared" si="13"/>
        <v>1</v>
      </c>
      <c r="AF15" s="1084">
        <f t="shared" si="14"/>
        <v>0</v>
      </c>
      <c r="AG15" s="1008">
        <f t="shared" si="15"/>
        <v>2</v>
      </c>
      <c r="AH15" s="1082">
        <f t="shared" si="16"/>
        <v>4.6543842502277236E-2</v>
      </c>
      <c r="AI15" s="1011">
        <f t="shared" si="17"/>
        <v>5.2081361411432332E-2</v>
      </c>
      <c r="AJ15" s="1012">
        <f t="shared" si="18"/>
        <v>31896.616741797614</v>
      </c>
      <c r="AK15" s="1083">
        <f t="shared" si="19"/>
        <v>161373.29999999999</v>
      </c>
      <c r="AL15" s="912">
        <f t="shared" si="20"/>
        <v>193269.91674179761</v>
      </c>
      <c r="AM15" s="1020">
        <f>VLOOKUP(A15,'Allocation Calculations_FY27'!$B$12:$CH$50, 85, FALSE)</f>
        <v>161373.29999999999</v>
      </c>
      <c r="AN15" s="1021">
        <f t="shared" si="21"/>
        <v>31896.616741797625</v>
      </c>
      <c r="AO15" s="1022">
        <f t="shared" si="22"/>
        <v>0.19765733700554941</v>
      </c>
      <c r="AP15" s="913">
        <f t="shared" si="23"/>
        <v>-6.2024633101763552E-2</v>
      </c>
    </row>
    <row r="16" spans="1:42" ht="14.25">
      <c r="A16" s="483" t="s">
        <v>44</v>
      </c>
      <c r="B16" s="351">
        <f>VLOOKUP($A16, 'Allocation Calculations_FY27'!$B$12:$G$50, 3, FALSE)</f>
        <v>705021</v>
      </c>
      <c r="C16" s="352">
        <f>VLOOKUP($A16, OpCost[], 10, FALSE)</f>
        <v>444287.66666666669</v>
      </c>
      <c r="D16" s="353">
        <f>VLOOKUP($A16, Ridership[], 10, FALSE)</f>
        <v>12242</v>
      </c>
      <c r="E16" s="353">
        <f>VLOOKUP($A16, VRHsizing[], 10, FALSE)</f>
        <v>5167.333333333333</v>
      </c>
      <c r="F16" s="353">
        <f>VLOOKUP($A16, VRMsizing[], 10, FALSE)</f>
        <v>59448</v>
      </c>
      <c r="G16" s="354">
        <f t="shared" si="1"/>
        <v>9.7514109702550571E-3</v>
      </c>
      <c r="H16" s="354">
        <f t="shared" si="2"/>
        <v>9.6858953538797882E-3</v>
      </c>
      <c r="I16" s="355">
        <f t="shared" si="3"/>
        <v>9.7514109702550571E-3</v>
      </c>
      <c r="J16" s="356">
        <f>MIN(0.3*Rural!B16,Rural!I16*Assumptions!$E$11)</f>
        <v>90007.595449788176</v>
      </c>
      <c r="K16" s="356"/>
      <c r="L16" s="357">
        <f>I16*Assumptions!$E$11-Rural!J16</f>
        <v>0</v>
      </c>
      <c r="M16" s="322">
        <f t="shared" si="4"/>
        <v>9.6858953538797882E-3</v>
      </c>
      <c r="N16" s="325">
        <f>MIN(0.3*B16,M16*Assumptions!$E$11)</f>
        <v>89402.872388444943</v>
      </c>
      <c r="O16" s="325"/>
      <c r="P16" s="321">
        <f>M16*Assumptions!$E$11-N16</f>
        <v>0</v>
      </c>
      <c r="Q16" s="302"/>
      <c r="R16" s="450">
        <f>VLOOKUP($A16,OpCost[[Agency]:[FY25 Operating Cost Performance]], 5, FALSE)</f>
        <v>457239</v>
      </c>
      <c r="S16">
        <f>VLOOKUP($A16,Ridership[[Agency]:[FY25 Ridership]],6, FALSE)</f>
        <v>12961</v>
      </c>
      <c r="T16">
        <f>VLOOKUP($A16,VRH[[Agency]:[FY25 Revenue Hours]], 5, FALSE)</f>
        <v>5116</v>
      </c>
      <c r="U16">
        <f>VLOOKUP($A16,VRM[[Agency]:[FY25 Revenue Miles]], 5, FALSE)</f>
        <v>59926</v>
      </c>
      <c r="V16" s="302"/>
      <c r="W16" s="991">
        <f t="shared" si="5"/>
        <v>2.5334245504300235</v>
      </c>
      <c r="X16" s="991">
        <f t="shared" si="6"/>
        <v>0.21628341621332978</v>
      </c>
      <c r="Y16" s="992">
        <f t="shared" si="7"/>
        <v>89.374315871774826</v>
      </c>
      <c r="Z16" s="992">
        <f t="shared" si="8"/>
        <v>7.6300604078363312</v>
      </c>
      <c r="AA16" s="992">
        <f t="shared" si="9"/>
        <v>35.278064964123139</v>
      </c>
      <c r="AB16" s="1007">
        <f t="shared" si="10"/>
        <v>0</v>
      </c>
      <c r="AC16" s="1007">
        <f t="shared" si="11"/>
        <v>0</v>
      </c>
      <c r="AD16" s="1007">
        <f t="shared" si="12"/>
        <v>0</v>
      </c>
      <c r="AE16" s="1007">
        <f t="shared" si="13"/>
        <v>0</v>
      </c>
      <c r="AF16" s="1084">
        <f t="shared" si="14"/>
        <v>0</v>
      </c>
      <c r="AG16" s="1008">
        <f t="shared" si="15"/>
        <v>0</v>
      </c>
      <c r="AH16" s="1082">
        <f t="shared" si="16"/>
        <v>0</v>
      </c>
      <c r="AI16" s="1011">
        <f t="shared" si="17"/>
        <v>0</v>
      </c>
      <c r="AJ16" s="1012">
        <f t="shared" si="18"/>
        <v>0</v>
      </c>
      <c r="AK16" s="1083">
        <f t="shared" si="19"/>
        <v>89402.872388444943</v>
      </c>
      <c r="AL16" s="912">
        <f t="shared" si="20"/>
        <v>89402.872388444943</v>
      </c>
      <c r="AM16" s="1020">
        <f>VLOOKUP(A16,'Allocation Calculations_FY27'!$B$12:$CH$50, 85, FALSE)</f>
        <v>81262.658640533642</v>
      </c>
      <c r="AN16" s="1021">
        <f t="shared" si="21"/>
        <v>8140.2137479113007</v>
      </c>
      <c r="AO16" s="1022">
        <f t="shared" si="22"/>
        <v>0.10017163952166068</v>
      </c>
      <c r="AP16" s="913">
        <f t="shared" si="23"/>
        <v>0.3439695958958241</v>
      </c>
    </row>
    <row r="17" spans="1:42" ht="14.25">
      <c r="A17" s="483" t="s">
        <v>36</v>
      </c>
      <c r="B17" s="351">
        <f>VLOOKUP($A17, 'Allocation Calculations_FY27'!$B$12:$G$50, 3, FALSE)</f>
        <v>749264</v>
      </c>
      <c r="C17" s="352">
        <f>VLOOKUP($A17, OpCost[], 10, FALSE)</f>
        <v>716889.33333333337</v>
      </c>
      <c r="D17" s="353">
        <f>VLOOKUP($A17, Ridership[], 10, FALSE)</f>
        <v>96000.333333333328</v>
      </c>
      <c r="E17" s="353">
        <f>VLOOKUP($A17, VRHsizing[], 10, FALSE)</f>
        <v>11464.666666666666</v>
      </c>
      <c r="F17" s="353">
        <f>VLOOKUP($A17, VRMsizing[], 10, FALSE)</f>
        <v>170054.66666666666</v>
      </c>
      <c r="G17" s="354">
        <f t="shared" si="1"/>
        <v>3.0522552053856435E-2</v>
      </c>
      <c r="H17" s="354">
        <f t="shared" si="2"/>
        <v>2.8958295708615054E-2</v>
      </c>
      <c r="I17" s="355">
        <f t="shared" si="3"/>
        <v>3.0522552053856435E-2</v>
      </c>
      <c r="J17" s="356">
        <f>MIN(0.3*Rural!B17,Rural!I17*Assumptions!$E$11)</f>
        <v>224779.19999999998</v>
      </c>
      <c r="K17" s="356"/>
      <c r="L17" s="357">
        <f>I17*Assumptions!$E$11-Rural!J17</f>
        <v>56950.441560451494</v>
      </c>
      <c r="M17" s="322">
        <f t="shared" si="4"/>
        <v>2.8958295708615054E-2</v>
      </c>
      <c r="N17" s="325">
        <f>MIN(0.3*B17,M17*Assumptions!$E$11)</f>
        <v>224779.19999999998</v>
      </c>
      <c r="O17" s="325"/>
      <c r="P17" s="321">
        <f>M17*Assumptions!$E$11-N17</f>
        <v>42512.023086271627</v>
      </c>
      <c r="Q17" s="302"/>
      <c r="R17" s="450">
        <f>VLOOKUP($A17,OpCost[[Agency]:[FY25 Operating Cost Performance]], 5, FALSE)</f>
        <v>698366</v>
      </c>
      <c r="S17">
        <f>VLOOKUP($A17,Ridership[[Agency]:[FY25 Ridership]],6, FALSE)</f>
        <v>101678</v>
      </c>
      <c r="T17">
        <f>VLOOKUP($A17,VRH[[Agency]:[FY25 Revenue Hours]], 5, FALSE)</f>
        <v>11641</v>
      </c>
      <c r="U17">
        <f>VLOOKUP($A17,VRM[[Agency]:[FY25 Revenue Miles]], 5, FALSE)</f>
        <v>168612</v>
      </c>
      <c r="V17" s="302"/>
      <c r="W17" s="991">
        <f t="shared" si="5"/>
        <v>8.7344729834206678</v>
      </c>
      <c r="X17" s="991">
        <f t="shared" si="6"/>
        <v>0.60302944037197825</v>
      </c>
      <c r="Y17" s="992">
        <f t="shared" si="7"/>
        <v>59.991925092346015</v>
      </c>
      <c r="Z17" s="992">
        <f t="shared" si="8"/>
        <v>4.1418522999549259</v>
      </c>
      <c r="AA17" s="992">
        <f t="shared" si="9"/>
        <v>6.8684081118826095</v>
      </c>
      <c r="AB17" s="1007">
        <f t="shared" si="10"/>
        <v>0</v>
      </c>
      <c r="AC17" s="1007">
        <f t="shared" si="11"/>
        <v>0</v>
      </c>
      <c r="AD17" s="1007">
        <f t="shared" si="12"/>
        <v>1</v>
      </c>
      <c r="AE17" s="1007">
        <f t="shared" si="13"/>
        <v>0</v>
      </c>
      <c r="AF17" s="1084">
        <f t="shared" si="14"/>
        <v>1</v>
      </c>
      <c r="AG17" s="1008">
        <f t="shared" si="15"/>
        <v>2</v>
      </c>
      <c r="AH17" s="1082">
        <f t="shared" si="16"/>
        <v>5.7916591417230108E-2</v>
      </c>
      <c r="AI17" s="1011">
        <f t="shared" si="17"/>
        <v>6.4807174636933765E-2</v>
      </c>
      <c r="AJ17" s="1012">
        <f t="shared" si="18"/>
        <v>39690.391255004128</v>
      </c>
      <c r="AK17" s="1083">
        <f t="shared" si="19"/>
        <v>224779.19999999998</v>
      </c>
      <c r="AL17" s="912">
        <f t="shared" si="20"/>
        <v>264469.59125500411</v>
      </c>
      <c r="AM17" s="1020">
        <f>VLOOKUP(A17,'Allocation Calculations_FY27'!$B$12:$CH$50, 85, FALSE)</f>
        <v>219357.40344295788</v>
      </c>
      <c r="AN17" s="1021">
        <f t="shared" si="21"/>
        <v>45112.187812046235</v>
      </c>
      <c r="AO17" s="1022">
        <f t="shared" si="22"/>
        <v>0.20565609869546664</v>
      </c>
      <c r="AP17" s="913">
        <f t="shared" si="23"/>
        <v>0.10900647547303483</v>
      </c>
    </row>
    <row r="18" spans="1:42" ht="14.25">
      <c r="A18" s="483" t="s">
        <v>54</v>
      </c>
      <c r="B18" s="351">
        <f>VLOOKUP($A18, 'Allocation Calculations_FY27'!$B$12:$G$50, 3, FALSE)</f>
        <v>176795</v>
      </c>
      <c r="C18" s="352">
        <f>VLOOKUP($A18, OpCost[], 10, FALSE)</f>
        <v>173252</v>
      </c>
      <c r="D18" s="353">
        <f>VLOOKUP($A18, Ridership[], 10, FALSE)</f>
        <v>15187.666666666666</v>
      </c>
      <c r="E18" s="353">
        <f>VLOOKUP($A18, VRHsizing[], 10, FALSE)</f>
        <v>3038.3333333333335</v>
      </c>
      <c r="F18" s="353">
        <f>VLOOKUP($A18, VRMsizing[], 10, FALSE)</f>
        <v>50498.333333333336</v>
      </c>
      <c r="G18" s="354">
        <f t="shared" si="1"/>
        <v>6.1460455395860713E-3</v>
      </c>
      <c r="H18" s="354">
        <f t="shared" si="2"/>
        <v>6.0831356122199318E-3</v>
      </c>
      <c r="I18" s="355">
        <f t="shared" si="3"/>
        <v>6.1460455395860713E-3</v>
      </c>
      <c r="J18" s="356">
        <f>MIN(0.3*Rural!B18,Rural!I18*Assumptions!$E$11)</f>
        <v>53038.5</v>
      </c>
      <c r="K18" s="356"/>
      <c r="L18" s="357">
        <f>I18*Assumptions!$E$11-Rural!J18</f>
        <v>3690.8063773486938</v>
      </c>
      <c r="M18" s="322">
        <f t="shared" si="4"/>
        <v>6.0831356122199318E-3</v>
      </c>
      <c r="N18" s="325">
        <f>MIN(0.3*B18,M18*Assumptions!$E$11)</f>
        <v>53038.5</v>
      </c>
      <c r="O18" s="325"/>
      <c r="P18" s="321">
        <f>M18*Assumptions!$E$11-N18</f>
        <v>3110.1343792738408</v>
      </c>
      <c r="Q18" s="302"/>
      <c r="R18" s="450">
        <f>VLOOKUP($A18,OpCost[[Agency]:[FY25 Operating Cost Performance]], 5, FALSE)</f>
        <v>165710</v>
      </c>
      <c r="S18">
        <f>VLOOKUP($A18,Ridership[[Agency]:[FY25 Ridership]],6, FALSE)</f>
        <v>15947</v>
      </c>
      <c r="T18">
        <f>VLOOKUP($A18,VRH[[Agency]:[FY25 Revenue Hours]], 5, FALSE)</f>
        <v>3083</v>
      </c>
      <c r="U18">
        <f>VLOOKUP($A18,VRM[[Agency]:[FY25 Revenue Miles]], 5, FALSE)</f>
        <v>50699</v>
      </c>
      <c r="V18" s="302"/>
      <c r="W18" s="991">
        <f t="shared" si="5"/>
        <v>5.172559195588712</v>
      </c>
      <c r="X18" s="991">
        <f t="shared" si="6"/>
        <v>0.31454269314976629</v>
      </c>
      <c r="Y18" s="992">
        <f t="shared" si="7"/>
        <v>53.749594550762247</v>
      </c>
      <c r="Z18" s="992">
        <f t="shared" si="8"/>
        <v>3.2685062821751907</v>
      </c>
      <c r="AA18" s="992">
        <f t="shared" si="9"/>
        <v>10.39129616855835</v>
      </c>
      <c r="AB18" s="1007">
        <f t="shared" si="10"/>
        <v>0</v>
      </c>
      <c r="AC18" s="1007">
        <f t="shared" si="11"/>
        <v>0</v>
      </c>
      <c r="AD18" s="1007">
        <f t="shared" si="12"/>
        <v>1</v>
      </c>
      <c r="AE18" s="1007">
        <f t="shared" si="13"/>
        <v>1</v>
      </c>
      <c r="AF18" s="1084">
        <f t="shared" si="14"/>
        <v>1</v>
      </c>
      <c r="AG18" s="1008">
        <f t="shared" si="15"/>
        <v>3</v>
      </c>
      <c r="AH18" s="1082">
        <f t="shared" si="16"/>
        <v>1.8249406836659796E-2</v>
      </c>
      <c r="AI18" s="1011">
        <f t="shared" si="17"/>
        <v>2.0420616388899141E-2</v>
      </c>
      <c r="AJ18" s="1012">
        <f t="shared" si="18"/>
        <v>12506.366134373173</v>
      </c>
      <c r="AK18" s="1083">
        <f t="shared" si="19"/>
        <v>53038.5</v>
      </c>
      <c r="AL18" s="912">
        <f t="shared" si="20"/>
        <v>65544.86613437318</v>
      </c>
      <c r="AM18" s="1020">
        <f>VLOOKUP(A18,'Allocation Calculations_FY27'!$B$12:$CH$50, 85, FALSE)</f>
        <v>44055.902196751129</v>
      </c>
      <c r="AN18" s="1021">
        <f t="shared" si="21"/>
        <v>21488.963937622051</v>
      </c>
      <c r="AO18" s="1022">
        <f t="shared" si="22"/>
        <v>0.48776583536193568</v>
      </c>
      <c r="AP18" s="913">
        <f t="shared" si="23"/>
        <v>0.11449675183896575</v>
      </c>
    </row>
    <row r="19" spans="1:42" ht="14.25">
      <c r="A19" s="483" t="s">
        <v>34</v>
      </c>
      <c r="B19" s="351">
        <f>VLOOKUP($A19, 'Allocation Calculations_FY27'!$B$12:$G$50, 3, FALSE)</f>
        <v>4097893</v>
      </c>
      <c r="C19" s="352">
        <f>VLOOKUP($A19, OpCost[], 10, FALSE)</f>
        <v>3948116</v>
      </c>
      <c r="D19" s="353">
        <f>VLOOKUP($A19, Ridership[], 10, FALSE)</f>
        <v>245687.66666666666</v>
      </c>
      <c r="E19" s="353">
        <f>VLOOKUP($A19, VRHsizing[], 10, FALSE)</f>
        <v>32422.666666666668</v>
      </c>
      <c r="F19" s="353">
        <f>VLOOKUP($A19, VRMsizing[], 10, FALSE)</f>
        <v>519734</v>
      </c>
      <c r="G19" s="354">
        <f t="shared" si="1"/>
        <v>0.10764276423690411</v>
      </c>
      <c r="H19" s="354">
        <f t="shared" si="2"/>
        <v>0.10165991792527238</v>
      </c>
      <c r="I19" s="355">
        <f t="shared" si="3"/>
        <v>0.10764276423690411</v>
      </c>
      <c r="J19" s="356">
        <f>MIN(0.3*Rural!B19,Rural!I19*Assumptions!$E$11)</f>
        <v>993565.58820931078</v>
      </c>
      <c r="K19" s="356"/>
      <c r="L19" s="357">
        <f>I19*Assumptions!$E$11-Rural!J19</f>
        <v>0</v>
      </c>
      <c r="M19" s="322">
        <f t="shared" si="4"/>
        <v>0.10165991792527238</v>
      </c>
      <c r="N19" s="325">
        <f>MIN(0.3*B19,M19*Assumptions!$E$11)</f>
        <v>938342.64538614301</v>
      </c>
      <c r="O19" s="325"/>
      <c r="P19" s="321">
        <f>M19*Assumptions!$E$11-N19</f>
        <v>0</v>
      </c>
      <c r="Q19" s="302"/>
      <c r="R19" s="450">
        <f>VLOOKUP($A19,OpCost[[Agency]:[FY25 Operating Cost Performance]], 5, FALSE)</f>
        <v>4067447</v>
      </c>
      <c r="S19">
        <f>VLOOKUP($A19,Ridership[[Agency]:[FY25 Ridership]],6, FALSE)</f>
        <v>242131</v>
      </c>
      <c r="T19">
        <f>VLOOKUP($A19,VRH[[Agency]:[FY25 Revenue Hours]], 5, FALSE)</f>
        <v>32391</v>
      </c>
      <c r="U19">
        <f>VLOOKUP($A19,VRM[[Agency]:[FY25 Revenue Miles]], 5, FALSE)</f>
        <v>565576</v>
      </c>
      <c r="V19" s="302"/>
      <c r="W19" s="991">
        <f t="shared" si="5"/>
        <v>7.4752554721990681</v>
      </c>
      <c r="X19" s="991">
        <f t="shared" si="6"/>
        <v>0.42811399352164875</v>
      </c>
      <c r="Y19" s="992">
        <f t="shared" si="7"/>
        <v>125.57336914575036</v>
      </c>
      <c r="Z19" s="992">
        <f t="shared" si="8"/>
        <v>7.1916895342093721</v>
      </c>
      <c r="AA19" s="992">
        <f t="shared" si="9"/>
        <v>16.798538807505029</v>
      </c>
      <c r="AB19" s="1007">
        <f t="shared" si="10"/>
        <v>0</v>
      </c>
      <c r="AC19" s="1007">
        <f t="shared" si="11"/>
        <v>0</v>
      </c>
      <c r="AD19" s="1007">
        <f t="shared" si="12"/>
        <v>0</v>
      </c>
      <c r="AE19" s="1007">
        <f t="shared" si="13"/>
        <v>0</v>
      </c>
      <c r="AF19" s="1084">
        <f t="shared" si="14"/>
        <v>1</v>
      </c>
      <c r="AG19" s="1008">
        <f t="shared" si="15"/>
        <v>1</v>
      </c>
      <c r="AH19" s="1082">
        <f t="shared" si="16"/>
        <v>0.10165991792527238</v>
      </c>
      <c r="AI19" s="1011">
        <f t="shared" si="17"/>
        <v>0.11375483075475799</v>
      </c>
      <c r="AJ19" s="1012">
        <f t="shared" si="18"/>
        <v>69667.807076873039</v>
      </c>
      <c r="AK19" s="1083">
        <f t="shared" si="19"/>
        <v>938342.64538614301</v>
      </c>
      <c r="AL19" s="912">
        <f t="shared" si="20"/>
        <v>1008010.452463016</v>
      </c>
      <c r="AM19" s="1020">
        <f>VLOOKUP(A19,'Allocation Calculations_FY27'!$B$12:$CH$50, 85, FALSE)</f>
        <v>764243.28746426327</v>
      </c>
      <c r="AN19" s="1021">
        <f t="shared" si="21"/>
        <v>243767.16499875276</v>
      </c>
      <c r="AO19" s="1022">
        <f t="shared" si="22"/>
        <v>0.31896539884251396</v>
      </c>
      <c r="AP19" s="913">
        <f t="shared" si="23"/>
        <v>8.8095407302520357E-2</v>
      </c>
    </row>
    <row r="20" spans="1:42" ht="14.25">
      <c r="A20" s="483" t="s">
        <v>51</v>
      </c>
      <c r="B20" s="351">
        <f>VLOOKUP($A20, 'Allocation Calculations_FY27'!$B$12:$G$50, 3, FALSE)</f>
        <v>872107</v>
      </c>
      <c r="C20" s="352">
        <f>VLOOKUP($A20, OpCost[], 10, FALSE)</f>
        <v>784319</v>
      </c>
      <c r="D20" s="353">
        <f>VLOOKUP($A20, Ridership[], 10, FALSE)</f>
        <v>29100.333333333332</v>
      </c>
      <c r="E20" s="353">
        <f>VLOOKUP($A20, VRHsizing[], 10, FALSE)</f>
        <v>18654.75</v>
      </c>
      <c r="F20" s="353">
        <f>VLOOKUP($A20, VRMsizing[], 10, FALSE)</f>
        <v>229834.33333333334</v>
      </c>
      <c r="G20" s="354">
        <f t="shared" si="1"/>
        <v>2.1931469439104082E-2</v>
      </c>
      <c r="H20" s="354">
        <f t="shared" si="2"/>
        <v>2.3304765226901426E-2</v>
      </c>
      <c r="I20" s="355">
        <f t="shared" si="3"/>
        <v>2.1931469439104082E-2</v>
      </c>
      <c r="J20" s="356">
        <f>MIN(0.3*Rural!B20,Rural!I20*Assumptions!$E$11)</f>
        <v>202432.12340404943</v>
      </c>
      <c r="K20" s="356"/>
      <c r="L20" s="357">
        <f>I20*Assumptions!$E$11-Rural!J20</f>
        <v>0</v>
      </c>
      <c r="M20" s="322">
        <f t="shared" si="4"/>
        <v>2.3304765226901426E-2</v>
      </c>
      <c r="N20" s="325">
        <f>MIN(0.3*B20,M20*Assumptions!$E$11)</f>
        <v>215107.93535352041</v>
      </c>
      <c r="O20" s="325"/>
      <c r="P20" s="321">
        <f>M20*Assumptions!$E$11-N20</f>
        <v>0</v>
      </c>
      <c r="Q20" s="302"/>
      <c r="R20" s="450">
        <f>VLOOKUP($A20,OpCost[[Agency]:[FY25 Operating Cost Performance]], 5, FALSE)</f>
        <v>744369</v>
      </c>
      <c r="S20">
        <f>VLOOKUP($A20,Ridership[[Agency]:[FY25 Ridership]],6, FALSE)</f>
        <v>31591</v>
      </c>
      <c r="T20">
        <f>VLOOKUP($A20,VRH[[Agency]:[FY25 Revenue Hours]], 5, FALSE)</f>
        <v>18376</v>
      </c>
      <c r="U20">
        <f>VLOOKUP($A20,VRM[[Agency]:[FY25 Revenue Miles]], 5, FALSE)</f>
        <v>231250</v>
      </c>
      <c r="V20" s="302"/>
      <c r="W20" s="991">
        <f t="shared" si="5"/>
        <v>1.7191445363517632</v>
      </c>
      <c r="X20" s="991">
        <f t="shared" si="6"/>
        <v>0.13660972972972973</v>
      </c>
      <c r="Y20" s="992">
        <f t="shared" si="7"/>
        <v>40.507673051806705</v>
      </c>
      <c r="Z20" s="992">
        <f t="shared" si="8"/>
        <v>3.2188929729729732</v>
      </c>
      <c r="AA20" s="992">
        <f t="shared" si="9"/>
        <v>23.562691905922573</v>
      </c>
      <c r="AB20" s="1007">
        <f t="shared" si="10"/>
        <v>0</v>
      </c>
      <c r="AC20" s="1007">
        <f t="shared" si="11"/>
        <v>0</v>
      </c>
      <c r="AD20" s="1007">
        <f t="shared" si="12"/>
        <v>1</v>
      </c>
      <c r="AE20" s="1007">
        <f t="shared" si="13"/>
        <v>1</v>
      </c>
      <c r="AF20" s="1084">
        <f t="shared" si="14"/>
        <v>0</v>
      </c>
      <c r="AG20" s="1008">
        <f t="shared" si="15"/>
        <v>2</v>
      </c>
      <c r="AH20" s="1082">
        <f t="shared" si="16"/>
        <v>4.6609530453802853E-2</v>
      </c>
      <c r="AI20" s="1011">
        <f t="shared" si="17"/>
        <v>5.2154864537943962E-2</v>
      </c>
      <c r="AJ20" s="1012">
        <f t="shared" si="18"/>
        <v>31941.632866417403</v>
      </c>
      <c r="AK20" s="1083">
        <f t="shared" si="19"/>
        <v>215107.93535352041</v>
      </c>
      <c r="AL20" s="912">
        <f t="shared" si="20"/>
        <v>247049.56821993782</v>
      </c>
      <c r="AM20" s="1020">
        <f>VLOOKUP(A20,'Allocation Calculations_FY27'!$B$12:$CH$50, 85, FALSE)</f>
        <v>210942.20813689104</v>
      </c>
      <c r="AN20" s="1021">
        <f t="shared" si="21"/>
        <v>36107.360083046777</v>
      </c>
      <c r="AO20" s="1022">
        <f t="shared" si="22"/>
        <v>0.17117181242179322</v>
      </c>
      <c r="AP20" s="913">
        <f t="shared" si="23"/>
        <v>9.1892910862693467E-2</v>
      </c>
    </row>
    <row r="21" spans="1:42" ht="14.25">
      <c r="A21" s="483" t="s">
        <v>23</v>
      </c>
      <c r="B21" s="351">
        <f>VLOOKUP($A21, 'Allocation Calculations_FY27'!$B$12:$G$50, 3, FALSE)</f>
        <v>2524115</v>
      </c>
      <c r="C21" s="352">
        <f>VLOOKUP($A21, OpCost[], 10, FALSE)</f>
        <v>2525849.6666666665</v>
      </c>
      <c r="D21" s="353">
        <f>VLOOKUP($A21, Ridership[], 10, FALSE)</f>
        <v>125517.33333333333</v>
      </c>
      <c r="E21" s="353">
        <f>VLOOKUP($A21, VRHsizing[], 10, FALSE)</f>
        <v>30908</v>
      </c>
      <c r="F21" s="353">
        <f>VLOOKUP($A21, VRMsizing[], 10, FALSE)</f>
        <v>635485</v>
      </c>
      <c r="G21" s="354">
        <f t="shared" si="1"/>
        <v>6.8985925558075117E-2</v>
      </c>
      <c r="H21" s="354">
        <f t="shared" si="2"/>
        <v>6.8894782636404417E-2</v>
      </c>
      <c r="I21" s="355">
        <f t="shared" si="3"/>
        <v>6.8985925558075117E-2</v>
      </c>
      <c r="J21" s="356">
        <f>MIN(0.3*Rural!B21,Rural!I21*Assumptions!$E$11)</f>
        <v>636754.75254818634</v>
      </c>
      <c r="K21" s="356"/>
      <c r="L21" s="357">
        <f>I21*Assumptions!$E$11-Rural!J21</f>
        <v>0</v>
      </c>
      <c r="M21" s="322">
        <f t="shared" si="4"/>
        <v>6.8894782636404417E-2</v>
      </c>
      <c r="N21" s="325">
        <f>MIN(0.3*B21,M21*Assumptions!$E$11)</f>
        <v>635913.48401311261</v>
      </c>
      <c r="O21" s="325"/>
      <c r="P21" s="321">
        <f>M21*Assumptions!$E$11-N21</f>
        <v>0</v>
      </c>
      <c r="Q21" s="302"/>
      <c r="R21" s="450">
        <f>VLOOKUP($A21,OpCost[[Agency]:[FY25 Operating Cost Performance]], 5, FALSE)</f>
        <v>2553471</v>
      </c>
      <c r="S21">
        <f>VLOOKUP($A21,Ridership[[Agency]:[FY25 Ridership]],6, FALSE)</f>
        <v>130218</v>
      </c>
      <c r="T21">
        <f>VLOOKUP($A21,VRH[[Agency]:[FY25 Revenue Hours]], 5, FALSE)</f>
        <v>28183</v>
      </c>
      <c r="U21">
        <f>VLOOKUP($A21,VRM[[Agency]:[FY25 Revenue Miles]], 5, FALSE)</f>
        <v>650766</v>
      </c>
      <c r="V21" s="302"/>
      <c r="W21" s="991">
        <f t="shared" si="5"/>
        <v>4.6204449490827804</v>
      </c>
      <c r="X21" s="991">
        <f t="shared" si="6"/>
        <v>0.20009957496242889</v>
      </c>
      <c r="Y21" s="992">
        <f t="shared" si="7"/>
        <v>90.603235993329307</v>
      </c>
      <c r="Z21" s="992">
        <f t="shared" si="8"/>
        <v>3.9237928840781477</v>
      </c>
      <c r="AA21" s="992">
        <f t="shared" si="9"/>
        <v>19.609201492881169</v>
      </c>
      <c r="AB21" s="1007">
        <f t="shared" si="10"/>
        <v>0</v>
      </c>
      <c r="AC21" s="1007">
        <f t="shared" si="11"/>
        <v>0</v>
      </c>
      <c r="AD21" s="1007">
        <f t="shared" si="12"/>
        <v>0</v>
      </c>
      <c r="AE21" s="1007">
        <f t="shared" si="13"/>
        <v>1</v>
      </c>
      <c r="AF21" s="1084">
        <f t="shared" si="14"/>
        <v>0</v>
      </c>
      <c r="AG21" s="1008">
        <f t="shared" si="15"/>
        <v>1</v>
      </c>
      <c r="AH21" s="1082">
        <f t="shared" si="16"/>
        <v>6.8894782636404417E-2</v>
      </c>
      <c r="AI21" s="1011">
        <f t="shared" si="17"/>
        <v>7.7091487959402918E-2</v>
      </c>
      <c r="AJ21" s="1012">
        <f t="shared" si="18"/>
        <v>47213.774349535663</v>
      </c>
      <c r="AK21" s="1083">
        <f t="shared" si="19"/>
        <v>635913.48401311261</v>
      </c>
      <c r="AL21" s="912">
        <f t="shared" si="20"/>
        <v>683127.25836264831</v>
      </c>
      <c r="AM21" s="1020">
        <f>VLOOKUP(A21,'Allocation Calculations_FY27'!$B$12:$CH$50, 85, FALSE)</f>
        <v>571615.73892652814</v>
      </c>
      <c r="AN21" s="1021">
        <f t="shared" si="21"/>
        <v>111511.51943612017</v>
      </c>
      <c r="AO21" s="1022">
        <f t="shared" si="22"/>
        <v>0.19508126148789118</v>
      </c>
      <c r="AP21" s="913">
        <f t="shared" si="23"/>
        <v>8.027029362092214E-2</v>
      </c>
    </row>
    <row r="22" spans="1:42" ht="14.25">
      <c r="A22" s="483" t="s">
        <v>45</v>
      </c>
      <c r="B22" s="351">
        <f>VLOOKUP($A22, 'Allocation Calculations_FY27'!$B$12:$G$50, 3, FALSE)</f>
        <v>2152505</v>
      </c>
      <c r="C22" s="352">
        <f>VLOOKUP($A22, OpCost[], 10, FALSE)</f>
        <v>2153544</v>
      </c>
      <c r="D22" s="353">
        <f>VLOOKUP($A22, Ridership[], 10, FALSE)</f>
        <v>131075.33333333334</v>
      </c>
      <c r="E22" s="353">
        <f>VLOOKUP($A22, VRHsizing[], 10, FALSE)</f>
        <v>45104</v>
      </c>
      <c r="F22" s="353">
        <f>VLOOKUP($A22, VRMsizing[], 10, FALSE)</f>
        <v>757370.66666666663</v>
      </c>
      <c r="G22" s="354">
        <f t="shared" si="1"/>
        <v>6.9366679262644393E-2</v>
      </c>
      <c r="H22" s="354">
        <f t="shared" si="2"/>
        <v>7.1770216447642685E-2</v>
      </c>
      <c r="I22" s="355">
        <f t="shared" si="3"/>
        <v>6.9366679262644393E-2</v>
      </c>
      <c r="J22" s="356">
        <f>MIN(0.3*Rural!B22,Rural!I22*Assumptions!$E$11)</f>
        <v>640269.19015228446</v>
      </c>
      <c r="K22" s="356"/>
      <c r="L22" s="357">
        <f>I22*Assumptions!$E$11-Rural!J22</f>
        <v>0</v>
      </c>
      <c r="M22" s="322">
        <f t="shared" si="4"/>
        <v>7.1770216447642685E-2</v>
      </c>
      <c r="N22" s="325">
        <f>MIN(0.3*B22,M22*Assumptions!$E$11)</f>
        <v>645751.5</v>
      </c>
      <c r="O22" s="325"/>
      <c r="P22" s="321">
        <f>M22*Assumptions!$E$11-N22</f>
        <v>16702.849126277608</v>
      </c>
      <c r="Q22" s="302"/>
      <c r="R22" s="450">
        <f>VLOOKUP($A22,OpCost[[Agency]:[FY25 Operating Cost Performance]], 5, FALSE)</f>
        <v>2155919</v>
      </c>
      <c r="S22">
        <f>VLOOKUP($A22,Ridership[[Agency]:[FY25 Ridership]],6, FALSE)</f>
        <v>130587</v>
      </c>
      <c r="T22">
        <f>VLOOKUP($A22,VRH[[Agency]:[FY25 Revenue Hours]], 5, FALSE)</f>
        <v>43806</v>
      </c>
      <c r="U22">
        <f>VLOOKUP($A22,VRM[[Agency]:[FY25 Revenue Miles]], 5, FALSE)</f>
        <v>745438</v>
      </c>
      <c r="V22" s="302"/>
      <c r="W22" s="991">
        <f t="shared" si="5"/>
        <v>2.9810299958909741</v>
      </c>
      <c r="X22" s="991">
        <f t="shared" si="6"/>
        <v>0.17518157110316351</v>
      </c>
      <c r="Y22" s="992">
        <f t="shared" si="7"/>
        <v>49.215153175364108</v>
      </c>
      <c r="Z22" s="992">
        <f t="shared" si="8"/>
        <v>2.8921506550511245</v>
      </c>
      <c r="AA22" s="992">
        <f t="shared" si="9"/>
        <v>16.509445810072979</v>
      </c>
      <c r="AB22" s="1007">
        <f t="shared" si="10"/>
        <v>0</v>
      </c>
      <c r="AC22" s="1007">
        <f t="shared" si="11"/>
        <v>0</v>
      </c>
      <c r="AD22" s="1007">
        <f t="shared" si="12"/>
        <v>1</v>
      </c>
      <c r="AE22" s="1007">
        <f t="shared" si="13"/>
        <v>1</v>
      </c>
      <c r="AF22" s="1084">
        <f t="shared" si="14"/>
        <v>1</v>
      </c>
      <c r="AG22" s="1008">
        <f t="shared" si="15"/>
        <v>3</v>
      </c>
      <c r="AH22" s="1082">
        <f t="shared" si="16"/>
        <v>0.21531064934292804</v>
      </c>
      <c r="AI22" s="1011">
        <f t="shared" si="17"/>
        <v>0.2409270730840618</v>
      </c>
      <c r="AJ22" s="1012">
        <f t="shared" si="18"/>
        <v>147552.94993495519</v>
      </c>
      <c r="AK22" s="1083">
        <f t="shared" si="19"/>
        <v>645751.5</v>
      </c>
      <c r="AL22" s="912">
        <f t="shared" si="20"/>
        <v>793304.44993495522</v>
      </c>
      <c r="AM22" s="1020">
        <f>VLOOKUP(A22,'Allocation Calculations_FY27'!$B$12:$CH$50, 85, FALSE)</f>
        <v>617804.8823981178</v>
      </c>
      <c r="AN22" s="1021">
        <f t="shared" si="21"/>
        <v>175499.56753683742</v>
      </c>
      <c r="AO22" s="1022">
        <f t="shared" si="22"/>
        <v>0.28406957040482606</v>
      </c>
      <c r="AP22" s="913">
        <f t="shared" si="23"/>
        <v>9.3412646494594784E-2</v>
      </c>
    </row>
    <row r="23" spans="1:42" ht="14.25">
      <c r="A23" s="483" t="s">
        <v>58</v>
      </c>
      <c r="B23" s="351">
        <f>VLOOKUP($A23, 'Allocation Calculations_FY27'!$B$12:$G$50, 3, FALSE)</f>
        <v>458740</v>
      </c>
      <c r="C23" s="352">
        <f>VLOOKUP($A23, OpCost[], 10, FALSE)</f>
        <v>454151.33333333331</v>
      </c>
      <c r="D23" s="353">
        <f>VLOOKUP($A23, Ridership[], 10, FALSE)</f>
        <v>32087.666666666668</v>
      </c>
      <c r="E23" s="353">
        <f>VLOOKUP($A23, VRHsizing[], 10, FALSE)</f>
        <v>8104.333333333333</v>
      </c>
      <c r="F23" s="353">
        <f>VLOOKUP($A23, VRMsizing[], 10, FALSE)</f>
        <v>128274.33333333333</v>
      </c>
      <c r="G23" s="354">
        <f t="shared" si="1"/>
        <v>1.4745979301692089E-2</v>
      </c>
      <c r="H23" s="354">
        <f t="shared" si="2"/>
        <v>1.4795456199564135E-2</v>
      </c>
      <c r="I23" s="355">
        <f t="shared" si="3"/>
        <v>1.4745979301692089E-2</v>
      </c>
      <c r="J23" s="356">
        <f>MIN(0.3*Rural!B23,Rural!I23*Assumptions!$E$11)</f>
        <v>136108.52250471155</v>
      </c>
      <c r="K23" s="356"/>
      <c r="L23" s="357">
        <f>I23*Assumptions!$E$11-Rural!J23</f>
        <v>0</v>
      </c>
      <c r="M23" s="322">
        <f t="shared" si="4"/>
        <v>1.4795456199564135E-2</v>
      </c>
      <c r="N23" s="325">
        <f>MIN(0.3*B23,M23*Assumptions!$E$11)</f>
        <v>136565.20478601029</v>
      </c>
      <c r="O23" s="325"/>
      <c r="P23" s="321">
        <f>M23*Assumptions!$E$11-N23</f>
        <v>0</v>
      </c>
      <c r="Q23" s="302"/>
      <c r="R23" s="450">
        <f>VLOOKUP($A23,OpCost[[Agency]:[FY25 Operating Cost Performance]], 5, FALSE)</f>
        <v>447645</v>
      </c>
      <c r="S23">
        <f>VLOOKUP($A23,Ridership[[Agency]:[FY25 Ridership]],6, FALSE)</f>
        <v>31857</v>
      </c>
      <c r="T23">
        <f>VLOOKUP($A23,VRH[[Agency]:[FY25 Revenue Hours]], 5, FALSE)</f>
        <v>7975</v>
      </c>
      <c r="U23">
        <f>VLOOKUP($A23,VRM[[Agency]:[FY25 Revenue Miles]], 5, FALSE)</f>
        <v>126970</v>
      </c>
      <c r="V23" s="302"/>
      <c r="W23" s="991">
        <f t="shared" si="5"/>
        <v>3.9946081504702193</v>
      </c>
      <c r="X23" s="991">
        <f t="shared" si="6"/>
        <v>0.25090178782389538</v>
      </c>
      <c r="Y23" s="992">
        <f t="shared" si="7"/>
        <v>56.131034482758622</v>
      </c>
      <c r="Z23" s="992">
        <f t="shared" si="8"/>
        <v>3.5255965976214854</v>
      </c>
      <c r="AA23" s="992">
        <f t="shared" si="9"/>
        <v>14.0516997834071</v>
      </c>
      <c r="AB23" s="1007">
        <f t="shared" si="10"/>
        <v>0</v>
      </c>
      <c r="AC23" s="1007">
        <f t="shared" si="11"/>
        <v>0</v>
      </c>
      <c r="AD23" s="1007">
        <f t="shared" si="12"/>
        <v>1</v>
      </c>
      <c r="AE23" s="1007">
        <f t="shared" si="13"/>
        <v>1</v>
      </c>
      <c r="AF23" s="1084">
        <f t="shared" si="14"/>
        <v>1</v>
      </c>
      <c r="AG23" s="1008">
        <f t="shared" si="15"/>
        <v>3</v>
      </c>
      <c r="AH23" s="1082">
        <f t="shared" si="16"/>
        <v>4.4386368598692404E-2</v>
      </c>
      <c r="AI23" s="1011">
        <f t="shared" si="17"/>
        <v>4.9667203661073883E-2</v>
      </c>
      <c r="AJ23" s="1012">
        <f t="shared" si="18"/>
        <v>30418.094244869935</v>
      </c>
      <c r="AK23" s="1083">
        <f t="shared" si="19"/>
        <v>136565.20478601029</v>
      </c>
      <c r="AL23" s="912">
        <f t="shared" si="20"/>
        <v>166983.29903088021</v>
      </c>
      <c r="AM23" s="1020">
        <f>VLOOKUP(A23,'Allocation Calculations_FY27'!$B$12:$CH$50, 85, FALSE)</f>
        <v>121342.73301380122</v>
      </c>
      <c r="AN23" s="1021">
        <f t="shared" si="21"/>
        <v>45640.566017078992</v>
      </c>
      <c r="AO23" s="1022">
        <f t="shared" si="22"/>
        <v>0.37612937242717243</v>
      </c>
      <c r="AP23" s="913">
        <f t="shared" si="23"/>
        <v>8.0129448615547133E-2</v>
      </c>
    </row>
    <row r="24" spans="1:42" ht="14.25">
      <c r="A24" s="483" t="s">
        <v>52</v>
      </c>
      <c r="B24" s="351">
        <f>VLOOKUP($A24, 'Allocation Calculations_FY27'!$B$12:$G$50, 3, FALSE)</f>
        <v>1208220</v>
      </c>
      <c r="C24" s="352">
        <f>VLOOKUP($A24, OpCost[], 10, FALSE)</f>
        <v>1258943</v>
      </c>
      <c r="D24" s="353">
        <f>VLOOKUP($A24, Ridership[], 10, FALSE)</f>
        <v>64758.666666666664</v>
      </c>
      <c r="E24" s="353">
        <f>VLOOKUP($A24, VRHsizing[], 10, FALSE)</f>
        <v>18218.333333333332</v>
      </c>
      <c r="F24" s="353">
        <f>VLOOKUP($A24, VRMsizing[], 10, FALSE)</f>
        <v>308693.33333333331</v>
      </c>
      <c r="G24" s="354">
        <f t="shared" si="1"/>
        <v>3.524633870183265E-2</v>
      </c>
      <c r="H24" s="354">
        <f t="shared" si="2"/>
        <v>3.5376794921379177E-2</v>
      </c>
      <c r="I24" s="355">
        <f t="shared" si="3"/>
        <v>3.524633870183265E-2</v>
      </c>
      <c r="J24" s="356">
        <f>MIN(0.3*Rural!B24,Rural!I24*Assumptions!$E$11)</f>
        <v>325331.19613538217</v>
      </c>
      <c r="K24" s="356"/>
      <c r="L24" s="357">
        <f>I24*Assumptions!$E$11-Rural!J24</f>
        <v>0</v>
      </c>
      <c r="M24" s="322">
        <f t="shared" si="4"/>
        <v>3.5376794921379177E-2</v>
      </c>
      <c r="N24" s="325">
        <f>MIN(0.3*B24,M24*Assumptions!$E$11)</f>
        <v>326535.33476400422</v>
      </c>
      <c r="O24" s="325"/>
      <c r="P24" s="321">
        <f>M24*Assumptions!$E$11-N24</f>
        <v>0</v>
      </c>
      <c r="Q24" s="302"/>
      <c r="R24" s="450">
        <f>VLOOKUP($A24,OpCost[[Agency]:[FY25 Operating Cost Performance]], 5, FALSE)</f>
        <v>1220651</v>
      </c>
      <c r="S24">
        <f>VLOOKUP($A24,Ridership[[Agency]:[FY25 Ridership]],6, FALSE)</f>
        <v>70287</v>
      </c>
      <c r="T24">
        <f>VLOOKUP($A24,VRH[[Agency]:[FY25 Revenue Hours]], 5, FALSE)</f>
        <v>17965</v>
      </c>
      <c r="U24">
        <f>VLOOKUP($A24,VRM[[Agency]:[FY25 Revenue Miles]], 5, FALSE)</f>
        <v>310461</v>
      </c>
      <c r="V24" s="302"/>
      <c r="W24" s="991">
        <f t="shared" si="5"/>
        <v>3.9124408572223768</v>
      </c>
      <c r="X24" s="991">
        <f t="shared" si="6"/>
        <v>0.22639558591900433</v>
      </c>
      <c r="Y24" s="992">
        <f t="shared" si="7"/>
        <v>67.946061786807675</v>
      </c>
      <c r="Z24" s="992">
        <f t="shared" si="8"/>
        <v>3.9317369975616905</v>
      </c>
      <c r="AA24" s="992">
        <f t="shared" si="9"/>
        <v>17.366668089404868</v>
      </c>
      <c r="AB24" s="1007">
        <f t="shared" si="10"/>
        <v>0</v>
      </c>
      <c r="AC24" s="1007">
        <f t="shared" si="11"/>
        <v>0</v>
      </c>
      <c r="AD24" s="1007">
        <f t="shared" si="12"/>
        <v>1</v>
      </c>
      <c r="AE24" s="1007">
        <f t="shared" si="13"/>
        <v>1</v>
      </c>
      <c r="AF24" s="1084">
        <f t="shared" si="14"/>
        <v>0</v>
      </c>
      <c r="AG24" s="1008">
        <f t="shared" si="15"/>
        <v>2</v>
      </c>
      <c r="AH24" s="1082">
        <f t="shared" si="16"/>
        <v>7.0753589842758355E-2</v>
      </c>
      <c r="AI24" s="1011">
        <f t="shared" si="17"/>
        <v>7.9171445365230714E-2</v>
      </c>
      <c r="AJ24" s="1012">
        <f t="shared" si="18"/>
        <v>48487.619779359426</v>
      </c>
      <c r="AK24" s="1083">
        <f t="shared" si="19"/>
        <v>326535.33476400422</v>
      </c>
      <c r="AL24" s="912">
        <f t="shared" si="20"/>
        <v>375022.95454336365</v>
      </c>
      <c r="AM24" s="1020">
        <f>VLOOKUP(A24,'Allocation Calculations_FY27'!$B$12:$CH$50, 85, FALSE)</f>
        <v>320122.9623516702</v>
      </c>
      <c r="AN24" s="1021">
        <f t="shared" si="21"/>
        <v>54899.992191693455</v>
      </c>
      <c r="AO24" s="1022">
        <f t="shared" si="22"/>
        <v>0.17149657677909158</v>
      </c>
      <c r="AP24" s="913">
        <f t="shared" si="23"/>
        <v>0.12525160028999716</v>
      </c>
    </row>
    <row r="25" spans="1:42" ht="14.25">
      <c r="A25" s="483" t="s">
        <v>53</v>
      </c>
      <c r="B25" s="351">
        <f>VLOOKUP($A25, 'Allocation Calculations_FY27'!$B$12:$G$50, 3, FALSE)</f>
        <v>1551122</v>
      </c>
      <c r="C25" s="352">
        <f>VLOOKUP($A25, OpCost[], 10, FALSE)</f>
        <v>1381891.3333333333</v>
      </c>
      <c r="D25" s="353">
        <f>VLOOKUP($A25, Ridership[], 10, FALSE)</f>
        <v>97486.333333333328</v>
      </c>
      <c r="E25" s="353">
        <f>VLOOKUP($A25, VRHsizing[], 10, FALSE)</f>
        <v>20703</v>
      </c>
      <c r="F25" s="353">
        <f>VLOOKUP($A25, VRMsizing[], 10, FALSE)</f>
        <v>527830.66666666663</v>
      </c>
      <c r="G25" s="354">
        <f t="shared" si="1"/>
        <v>4.5651814615613885E-2</v>
      </c>
      <c r="H25" s="354">
        <f t="shared" si="2"/>
        <v>4.6211157712129317E-2</v>
      </c>
      <c r="I25" s="355">
        <f t="shared" si="3"/>
        <v>4.5651814615613885E-2</v>
      </c>
      <c r="J25" s="356">
        <f>MIN(0.3*Rural!B25,Rural!I25*Assumptions!$E$11)</f>
        <v>421375.9500040256</v>
      </c>
      <c r="K25" s="356"/>
      <c r="L25" s="357">
        <f>I25*Assumptions!$E$11-Rural!J25</f>
        <v>0</v>
      </c>
      <c r="M25" s="322">
        <f t="shared" si="4"/>
        <v>4.6211157712129317E-2</v>
      </c>
      <c r="N25" s="325">
        <f>MIN(0.3*B25,M25*Assumptions!$E$11)</f>
        <v>426538.80564638972</v>
      </c>
      <c r="O25" s="325"/>
      <c r="P25" s="321">
        <f>M25*Assumptions!$E$11-N25</f>
        <v>0</v>
      </c>
      <c r="Q25" s="302"/>
      <c r="R25" s="450">
        <f>VLOOKUP($A25,OpCost[[Agency]:[FY25 Operating Cost Performance]], 5, FALSE)</f>
        <v>1347743</v>
      </c>
      <c r="S25">
        <f>VLOOKUP($A25,Ridership[[Agency]:[FY25 Ridership]],6, FALSE)</f>
        <v>98845</v>
      </c>
      <c r="T25">
        <f>VLOOKUP($A25,VRH[[Agency]:[FY25 Revenue Hours]], 5, FALSE)</f>
        <v>21730</v>
      </c>
      <c r="U25">
        <f>VLOOKUP($A25,VRM[[Agency]:[FY25 Revenue Miles]], 5, FALSE)</f>
        <v>529269</v>
      </c>
      <c r="V25" s="302"/>
      <c r="W25" s="991">
        <f t="shared" si="5"/>
        <v>4.5487804878048781</v>
      </c>
      <c r="X25" s="991">
        <f t="shared" si="6"/>
        <v>0.18675758451751379</v>
      </c>
      <c r="Y25" s="992">
        <f t="shared" si="7"/>
        <v>62.022227335480899</v>
      </c>
      <c r="Z25" s="992">
        <f t="shared" si="8"/>
        <v>2.5464234633050489</v>
      </c>
      <c r="AA25" s="992">
        <f t="shared" si="9"/>
        <v>13.634913248014568</v>
      </c>
      <c r="AB25" s="1007">
        <f t="shared" si="10"/>
        <v>0</v>
      </c>
      <c r="AC25" s="1007">
        <f t="shared" si="11"/>
        <v>0</v>
      </c>
      <c r="AD25" s="1007">
        <f t="shared" si="12"/>
        <v>1</v>
      </c>
      <c r="AE25" s="1007">
        <f t="shared" si="13"/>
        <v>1</v>
      </c>
      <c r="AF25" s="1084">
        <f t="shared" si="14"/>
        <v>1</v>
      </c>
      <c r="AG25" s="1008">
        <f t="shared" si="15"/>
        <v>3</v>
      </c>
      <c r="AH25" s="1082">
        <f t="shared" si="16"/>
        <v>0.13863347313638796</v>
      </c>
      <c r="AI25" s="1011">
        <f t="shared" si="17"/>
        <v>0.15512728709033971</v>
      </c>
      <c r="AJ25" s="1012">
        <f t="shared" si="18"/>
        <v>95005.880960501076</v>
      </c>
      <c r="AK25" s="1083">
        <f t="shared" si="19"/>
        <v>426538.80564638972</v>
      </c>
      <c r="AL25" s="912">
        <f t="shared" si="20"/>
        <v>521544.68660689081</v>
      </c>
      <c r="AM25" s="1020">
        <f>VLOOKUP(A25,'Allocation Calculations_FY27'!$B$12:$CH$50, 85, FALSE)</f>
        <v>417593.60816179472</v>
      </c>
      <c r="AN25" s="1021">
        <f t="shared" si="21"/>
        <v>103951.07844509609</v>
      </c>
      <c r="AO25" s="1022">
        <f t="shared" si="22"/>
        <v>0.24892880641223974</v>
      </c>
      <c r="AP25" s="913">
        <f t="shared" si="23"/>
        <v>0.23242969068227501</v>
      </c>
    </row>
    <row r="26" spans="1:42" ht="14.25">
      <c r="A26" s="483" t="s">
        <v>60</v>
      </c>
      <c r="B26" s="351">
        <f>VLOOKUP($A26, 'Allocation Calculations_FY27'!$B$12:$G$50, 3, FALSE)</f>
        <v>5119725</v>
      </c>
      <c r="C26" s="352">
        <f>VLOOKUP($A26, OpCost[], 10, FALSE)</f>
        <v>4891607.333333333</v>
      </c>
      <c r="D26" s="353">
        <f>VLOOKUP($A26, Ridership[], 10, FALSE)</f>
        <v>192022.66666666666</v>
      </c>
      <c r="E26" s="353">
        <f>VLOOKUP($A26, VRHsizing[], 10, FALSE)</f>
        <v>64066.35</v>
      </c>
      <c r="F26" s="353">
        <f>VLOOKUP($A26, VRMsizing[], 10, FALSE)</f>
        <v>987813.33333333337</v>
      </c>
      <c r="G26" s="354">
        <f t="shared" si="1"/>
        <v>0.12271205027821872</v>
      </c>
      <c r="H26" s="354">
        <f t="shared" si="2"/>
        <v>0.12301968365917872</v>
      </c>
      <c r="I26" s="355">
        <f t="shared" si="3"/>
        <v>0.12271205027821872</v>
      </c>
      <c r="J26" s="356">
        <f>MIN(0.3*Rural!B26,Rural!I26*Assumptions!$E$11)</f>
        <v>1132658.300624067</v>
      </c>
      <c r="K26" s="356"/>
      <c r="L26" s="357">
        <f>I26*Assumptions!$E$11-Rural!J26</f>
        <v>0</v>
      </c>
      <c r="M26" s="322">
        <f t="shared" si="4"/>
        <v>0.12301968365917872</v>
      </c>
      <c r="N26" s="325">
        <f>MIN(0.3*B26,M26*Assumptions!$E$11)</f>
        <v>1135497.8221030366</v>
      </c>
      <c r="O26" s="325"/>
      <c r="P26" s="321">
        <f>M26*Assumptions!$E$11-N26</f>
        <v>0</v>
      </c>
      <c r="Q26" s="302"/>
      <c r="R26" s="450">
        <f>VLOOKUP($A26,OpCost[[Agency]:[FY25 Operating Cost Performance]], 5, FALSE)</f>
        <v>4896193</v>
      </c>
      <c r="S26">
        <f>VLOOKUP($A26,Ridership[[Agency]:[FY25 Ridership]],6, FALSE)</f>
        <v>196650</v>
      </c>
      <c r="T26">
        <f>VLOOKUP($A26,VRH[[Agency]:[FY25 Revenue Hours]], 5, FALSE)</f>
        <v>65376</v>
      </c>
      <c r="U26">
        <f>VLOOKUP($A26,VRM[[Agency]:[FY25 Revenue Miles]], 5, FALSE)</f>
        <v>985112</v>
      </c>
      <c r="V26" s="302"/>
      <c r="W26" s="991">
        <f t="shared" si="5"/>
        <v>3.0079845814977975</v>
      </c>
      <c r="X26" s="991">
        <f t="shared" si="6"/>
        <v>0.19962197191791389</v>
      </c>
      <c r="Y26" s="992">
        <f t="shared" si="7"/>
        <v>74.892819995105242</v>
      </c>
      <c r="Z26" s="992">
        <f t="shared" si="8"/>
        <v>4.9701891764591233</v>
      </c>
      <c r="AA26" s="992">
        <f t="shared" si="9"/>
        <v>24.898006610729723</v>
      </c>
      <c r="AB26" s="1007">
        <f t="shared" si="10"/>
        <v>0</v>
      </c>
      <c r="AC26" s="1007">
        <f t="shared" si="11"/>
        <v>0</v>
      </c>
      <c r="AD26" s="1007">
        <f t="shared" si="12"/>
        <v>0</v>
      </c>
      <c r="AE26" s="1007">
        <f t="shared" si="13"/>
        <v>0</v>
      </c>
      <c r="AF26" s="1084">
        <f t="shared" si="14"/>
        <v>0</v>
      </c>
      <c r="AG26" s="1008">
        <f t="shared" si="15"/>
        <v>0</v>
      </c>
      <c r="AH26" s="1082">
        <f t="shared" si="16"/>
        <v>0</v>
      </c>
      <c r="AI26" s="1011">
        <f t="shared" si="17"/>
        <v>0</v>
      </c>
      <c r="AJ26" s="1012">
        <f t="shared" si="18"/>
        <v>0</v>
      </c>
      <c r="AK26" s="1083">
        <f t="shared" si="19"/>
        <v>1135497.8221030366</v>
      </c>
      <c r="AL26" s="912">
        <f t="shared" si="20"/>
        <v>1135497.8221030366</v>
      </c>
      <c r="AM26" s="1020">
        <f>VLOOKUP(A26,'Allocation Calculations_FY27'!$B$12:$CH$50, 85, FALSE)</f>
        <v>1039778.100872567</v>
      </c>
      <c r="AN26" s="1021">
        <f t="shared" si="21"/>
        <v>95719.721230469528</v>
      </c>
      <c r="AO26" s="1022">
        <f t="shared" si="22"/>
        <v>9.205783536904931E-2</v>
      </c>
      <c r="AP26" s="913">
        <f t="shared" si="23"/>
        <v>9.4865732226688232E-2</v>
      </c>
    </row>
    <row r="27" spans="1:42" ht="14.25">
      <c r="A27" s="483" t="s">
        <v>43</v>
      </c>
      <c r="B27" s="351">
        <f>VLOOKUP($A27, 'Allocation Calculations_FY27'!$B$12:$G$50, 3, FALSE)</f>
        <v>5142066</v>
      </c>
      <c r="C27" s="352">
        <f>VLOOKUP($A27, OpCost[], 10, FALSE)</f>
        <v>4839038</v>
      </c>
      <c r="D27" s="353">
        <f>VLOOKUP($A27, Ridership[], 10, FALSE)</f>
        <v>128704</v>
      </c>
      <c r="E27" s="353">
        <f>VLOOKUP($A27, VRHsizing[], 10, FALSE)</f>
        <v>46178.798888099998</v>
      </c>
      <c r="F27" s="353">
        <f>VLOOKUP($A27, VRMsizing[], 10, FALSE)</f>
        <v>912860.00699999987</v>
      </c>
      <c r="G27" s="354">
        <f t="shared" si="1"/>
        <v>0.10646025346807089</v>
      </c>
      <c r="H27" s="354">
        <f t="shared" si="2"/>
        <v>0.10640997386557004</v>
      </c>
      <c r="I27" s="355">
        <f t="shared" si="3"/>
        <v>0.10646025346807089</v>
      </c>
      <c r="J27" s="356">
        <f>MIN(0.3*Rural!B27,Rural!I27*Assumptions!$E$11)</f>
        <v>982650.76252707688</v>
      </c>
      <c r="K27" s="356"/>
      <c r="L27" s="357">
        <f>I27*Assumptions!$E$11-Rural!J27</f>
        <v>0</v>
      </c>
      <c r="M27" s="322">
        <f t="shared" si="4"/>
        <v>0.10640997386557004</v>
      </c>
      <c r="N27" s="325">
        <f>MIN(0.3*B27,M27*Assumptions!$E$11)</f>
        <v>982186.67111147789</v>
      </c>
      <c r="O27" s="325"/>
      <c r="P27" s="321">
        <f>M27*Assumptions!$E$11-N27</f>
        <v>0</v>
      </c>
      <c r="Q27" s="302"/>
      <c r="R27" s="450">
        <f>VLOOKUP($A27,OpCost[[Agency]:[FY25 Operating Cost Performance]], 5, FALSE)</f>
        <v>5022923</v>
      </c>
      <c r="S27">
        <f>VLOOKUP($A27,Ridership[[Agency]:[FY25 Ridership]],6, FALSE)</f>
        <v>135799</v>
      </c>
      <c r="T27">
        <f>VLOOKUP($A27,VRH[[Agency]:[FY25 Revenue Hours]], 5, FALSE)</f>
        <v>45862</v>
      </c>
      <c r="U27">
        <f>VLOOKUP($A27,VRM[[Agency]:[FY25 Revenue Miles]], 5, FALSE)</f>
        <v>906466.02099999995</v>
      </c>
      <c r="V27" s="302"/>
      <c r="W27" s="991">
        <f t="shared" si="5"/>
        <v>2.9610352797523003</v>
      </c>
      <c r="X27" s="991">
        <f t="shared" si="6"/>
        <v>0.1498114621551821</v>
      </c>
      <c r="Y27" s="992">
        <f t="shared" si="7"/>
        <v>109.52254589856526</v>
      </c>
      <c r="Z27" s="992">
        <f t="shared" si="8"/>
        <v>5.5412148758304092</v>
      </c>
      <c r="AA27" s="992">
        <f t="shared" si="9"/>
        <v>36.987923327859555</v>
      </c>
      <c r="AB27" s="1007">
        <f t="shared" si="10"/>
        <v>0</v>
      </c>
      <c r="AC27" s="1007">
        <f t="shared" si="11"/>
        <v>0</v>
      </c>
      <c r="AD27" s="1007">
        <f t="shared" si="12"/>
        <v>0</v>
      </c>
      <c r="AE27" s="1007">
        <f t="shared" si="13"/>
        <v>0</v>
      </c>
      <c r="AF27" s="1084">
        <f t="shared" si="14"/>
        <v>0</v>
      </c>
      <c r="AG27" s="1008">
        <f t="shared" si="15"/>
        <v>0</v>
      </c>
      <c r="AH27" s="1082">
        <f t="shared" si="16"/>
        <v>0</v>
      </c>
      <c r="AI27" s="1011">
        <f t="shared" si="17"/>
        <v>0</v>
      </c>
      <c r="AJ27" s="1012">
        <f t="shared" si="18"/>
        <v>0</v>
      </c>
      <c r="AK27" s="1083">
        <f t="shared" si="19"/>
        <v>982186.67111147789</v>
      </c>
      <c r="AL27" s="912">
        <f t="shared" si="20"/>
        <v>982186.67111147789</v>
      </c>
      <c r="AM27" s="1020">
        <f>VLOOKUP(A27,'Allocation Calculations_FY27'!$B$12:$CH$50, 85, FALSE)</f>
        <v>966623.3711736016</v>
      </c>
      <c r="AN27" s="1021">
        <f t="shared" si="21"/>
        <v>15563.299937876291</v>
      </c>
      <c r="AO27" s="1022">
        <f t="shared" si="22"/>
        <v>1.6100686577627955E-2</v>
      </c>
      <c r="AP27" s="913">
        <f t="shared" si="23"/>
        <v>0.12204141229171593</v>
      </c>
    </row>
    <row r="28" spans="1:42" ht="14.25">
      <c r="A28" s="483" t="s">
        <v>31</v>
      </c>
      <c r="B28" s="351">
        <f>VLOOKUP($A28, 'Allocation Calculations_FY27'!$B$12:$G$50, 3, FALSE)</f>
        <v>2252994</v>
      </c>
      <c r="C28" s="352">
        <f>VLOOKUP($A28, OpCost[], 10, FALSE)</f>
        <v>2116702.3333333335</v>
      </c>
      <c r="D28" s="353">
        <f>VLOOKUP($A28, Ridership[], 10, FALSE)</f>
        <v>80862</v>
      </c>
      <c r="E28" s="353">
        <f>VLOOKUP($A28, VRHsizing[], 10, FALSE)</f>
        <v>23891.600000000002</v>
      </c>
      <c r="F28" s="353">
        <f>VLOOKUP($A28, VRMsizing[], 10, FALSE)</f>
        <v>458726.66666666669</v>
      </c>
      <c r="G28" s="354">
        <f t="shared" si="1"/>
        <v>5.2297624549013808E-2</v>
      </c>
      <c r="H28" s="354">
        <f t="shared" si="2"/>
        <v>5.2288445000180123E-2</v>
      </c>
      <c r="I28" s="355">
        <f t="shared" si="3"/>
        <v>5.2297624549013808E-2</v>
      </c>
      <c r="J28" s="356">
        <f>MIN(0.3*Rural!B28,Rural!I28*Assumptions!$E$11)</f>
        <v>482718.18793720938</v>
      </c>
      <c r="K28" s="356"/>
      <c r="L28" s="357">
        <f>I28*Assumptions!$E$11-Rural!J28</f>
        <v>0</v>
      </c>
      <c r="M28" s="322">
        <f t="shared" si="4"/>
        <v>5.2288445000180123E-2</v>
      </c>
      <c r="N28" s="325">
        <f>MIN(0.3*B28,M28*Assumptions!$E$11)</f>
        <v>482633.45875080198</v>
      </c>
      <c r="O28" s="325"/>
      <c r="P28" s="321">
        <f>M28*Assumptions!$E$11-N28</f>
        <v>0</v>
      </c>
      <c r="Q28" s="302"/>
      <c r="R28" s="450">
        <f>VLOOKUP($A28,OpCost[[Agency]:[FY25 Operating Cost Performance]], 5, FALSE)</f>
        <v>2126888</v>
      </c>
      <c r="S28">
        <f>VLOOKUP($A28,Ridership[[Agency]:[FY25 Ridership]],6, FALSE)</f>
        <v>89631</v>
      </c>
      <c r="T28">
        <f>VLOOKUP($A28,VRH[[Agency]:[FY25 Revenue Hours]], 5, FALSE)</f>
        <v>24537</v>
      </c>
      <c r="U28">
        <f>VLOOKUP($A28,VRM[[Agency]:[FY25 Revenue Miles]], 5, FALSE)</f>
        <v>463883</v>
      </c>
      <c r="V28" s="302"/>
      <c r="W28" s="991">
        <f t="shared" si="5"/>
        <v>3.6528915515344176</v>
      </c>
      <c r="X28" s="991">
        <f t="shared" si="6"/>
        <v>0.19321897978585117</v>
      </c>
      <c r="Y28" s="992">
        <f t="shared" si="7"/>
        <v>86.680849329583893</v>
      </c>
      <c r="Z28" s="992">
        <f t="shared" si="8"/>
        <v>4.5849664678377957</v>
      </c>
      <c r="AA28" s="992">
        <f t="shared" si="9"/>
        <v>23.729379344200108</v>
      </c>
      <c r="AB28" s="1007">
        <f t="shared" si="10"/>
        <v>0</v>
      </c>
      <c r="AC28" s="1007">
        <f t="shared" si="11"/>
        <v>0</v>
      </c>
      <c r="AD28" s="1007">
        <f t="shared" si="12"/>
        <v>0</v>
      </c>
      <c r="AE28" s="1007">
        <f t="shared" si="13"/>
        <v>0</v>
      </c>
      <c r="AF28" s="1084">
        <f t="shared" si="14"/>
        <v>0</v>
      </c>
      <c r="AG28" s="1008">
        <f t="shared" si="15"/>
        <v>0</v>
      </c>
      <c r="AH28" s="1082">
        <f t="shared" si="16"/>
        <v>0</v>
      </c>
      <c r="AI28" s="1011">
        <f t="shared" si="17"/>
        <v>0</v>
      </c>
      <c r="AJ28" s="1012">
        <f t="shared" si="18"/>
        <v>0</v>
      </c>
      <c r="AK28" s="1083">
        <f t="shared" si="19"/>
        <v>482633.45875080198</v>
      </c>
      <c r="AL28" s="912">
        <f t="shared" si="20"/>
        <v>482633.45875080198</v>
      </c>
      <c r="AM28" s="1020">
        <f>VLOOKUP(A28,'Allocation Calculations_FY27'!$B$12:$CH$50, 85, FALSE)</f>
        <v>456281.83792032517</v>
      </c>
      <c r="AN28" s="1021">
        <f t="shared" si="21"/>
        <v>26351.620830476808</v>
      </c>
      <c r="AO28" s="1022">
        <f t="shared" si="22"/>
        <v>5.7752947061369256E-2</v>
      </c>
      <c r="AP28" s="913">
        <f t="shared" si="23"/>
        <v>0.1091704151675546</v>
      </c>
    </row>
    <row r="29" spans="1:42" ht="14.25">
      <c r="A29" s="483" t="s">
        <v>30</v>
      </c>
      <c r="B29" s="351">
        <f>VLOOKUP($A29, 'Allocation Calculations_FY27'!$B$12:$G$50, 3, FALSE)</f>
        <v>2810399</v>
      </c>
      <c r="C29" s="352">
        <f>VLOOKUP($A29, OpCost[], 10, FALSE)</f>
        <v>2755458.6666666665</v>
      </c>
      <c r="D29" s="353">
        <f>VLOOKUP($A29, Ridership[], 10, FALSE)</f>
        <v>117106.33333333333</v>
      </c>
      <c r="E29" s="353">
        <f>VLOOKUP($A29, VRHsizing[], 10, FALSE)</f>
        <v>34762.243333333332</v>
      </c>
      <c r="F29" s="353">
        <f>VLOOKUP($A29, VRMsizing[], 10, FALSE)</f>
        <v>414000.59666666668</v>
      </c>
      <c r="G29" s="354">
        <f t="shared" si="1"/>
        <v>6.873627665777679E-2</v>
      </c>
      <c r="H29" s="354">
        <f t="shared" si="2"/>
        <v>6.7677768108905134E-2</v>
      </c>
      <c r="I29" s="355">
        <f t="shared" si="3"/>
        <v>6.873627665777679E-2</v>
      </c>
      <c r="J29" s="356">
        <f>MIN(0.3*Rural!B29,Rural!I29*Assumptions!$E$11)</f>
        <v>634450.44014754216</v>
      </c>
      <c r="K29" s="356"/>
      <c r="L29" s="357">
        <f>I29*Assumptions!$E$11-Rural!J29</f>
        <v>0</v>
      </c>
      <c r="M29" s="322">
        <f t="shared" si="4"/>
        <v>6.7677768108905134E-2</v>
      </c>
      <c r="N29" s="325">
        <f>MIN(0.3*B29,M29*Assumptions!$E$11)</f>
        <v>624680.18130627309</v>
      </c>
      <c r="O29" s="325"/>
      <c r="P29" s="321">
        <f>M29*Assumptions!$E$11-N29</f>
        <v>0</v>
      </c>
      <c r="Q29" s="302"/>
      <c r="R29" s="450">
        <f>VLOOKUP($A29,OpCost[[Agency]:[FY25 Operating Cost Performance]], 5, FALSE)</f>
        <v>2846110</v>
      </c>
      <c r="S29">
        <f>VLOOKUP($A29,Ridership[[Agency]:[FY25 Ridership]],6, FALSE)</f>
        <v>140253</v>
      </c>
      <c r="T29">
        <f>VLOOKUP($A29,VRH[[Agency]:[FY25 Revenue Hours]], 5, FALSE)</f>
        <v>35518.39</v>
      </c>
      <c r="U29">
        <f>VLOOKUP($A29,VRM[[Agency]:[FY25 Revenue Miles]], 5, FALSE)</f>
        <v>438033</v>
      </c>
      <c r="V29" s="302"/>
      <c r="W29" s="991">
        <f t="shared" si="5"/>
        <v>3.9487431721989652</v>
      </c>
      <c r="X29" s="991">
        <f t="shared" si="6"/>
        <v>0.32018820499825357</v>
      </c>
      <c r="Y29" s="992">
        <f t="shared" si="7"/>
        <v>80.130602766623156</v>
      </c>
      <c r="Z29" s="992">
        <f t="shared" si="8"/>
        <v>6.4974785004782749</v>
      </c>
      <c r="AA29" s="992">
        <f t="shared" si="9"/>
        <v>20.292685361453945</v>
      </c>
      <c r="AB29" s="1007">
        <f t="shared" si="10"/>
        <v>0</v>
      </c>
      <c r="AC29" s="1007">
        <f t="shared" si="11"/>
        <v>0</v>
      </c>
      <c r="AD29" s="1007">
        <f t="shared" si="12"/>
        <v>0</v>
      </c>
      <c r="AE29" s="1007">
        <f t="shared" si="13"/>
        <v>0</v>
      </c>
      <c r="AF29" s="1084">
        <f t="shared" si="14"/>
        <v>0</v>
      </c>
      <c r="AG29" s="1008">
        <f t="shared" si="15"/>
        <v>0</v>
      </c>
      <c r="AH29" s="1082">
        <f t="shared" si="16"/>
        <v>0</v>
      </c>
      <c r="AI29" s="1011">
        <f t="shared" si="17"/>
        <v>0</v>
      </c>
      <c r="AJ29" s="1012">
        <f t="shared" si="18"/>
        <v>0</v>
      </c>
      <c r="AK29" s="1083">
        <f t="shared" si="19"/>
        <v>624680.18130627309</v>
      </c>
      <c r="AL29" s="912">
        <f t="shared" si="20"/>
        <v>624680.18130627309</v>
      </c>
      <c r="AM29" s="1020">
        <f>VLOOKUP(A29,'Allocation Calculations_FY27'!$B$12:$CH$50, 85, FALSE)</f>
        <v>543737.58488908003</v>
      </c>
      <c r="AN29" s="1021">
        <f t="shared" si="21"/>
        <v>80942.596417193068</v>
      </c>
      <c r="AO29" s="1022">
        <f t="shared" si="22"/>
        <v>0.14886334633958584</v>
      </c>
      <c r="AP29" s="913">
        <f t="shared" si="23"/>
        <v>0.12869360811095865</v>
      </c>
    </row>
    <row r="30" spans="1:42" ht="14.25">
      <c r="A30" s="483" t="s">
        <v>24</v>
      </c>
      <c r="B30" s="351">
        <f>VLOOKUP($A30, 'Allocation Calculations_FY27'!$B$12:$G$50, 3, FALSE)</f>
        <v>5545950</v>
      </c>
      <c r="C30" s="352">
        <f>VLOOKUP($A30, OpCost[], 10, FALSE)</f>
        <v>5450209</v>
      </c>
      <c r="D30" s="353">
        <f>VLOOKUP($A30, Ridership[], 10, FALSE)</f>
        <v>129931.33333333333</v>
      </c>
      <c r="E30" s="353">
        <f>VLOOKUP($A30, VRHsizing[], 10, FALSE)</f>
        <v>61037.236666666664</v>
      </c>
      <c r="F30" s="353">
        <f>VLOOKUP($A30, VRMsizing[], 10, FALSE)</f>
        <v>1367359.3333333333</v>
      </c>
      <c r="G30" s="354">
        <f t="shared" si="1"/>
        <v>0.1231170596160243</v>
      </c>
      <c r="H30" s="354">
        <f t="shared" si="2"/>
        <v>0.12641066133452175</v>
      </c>
      <c r="I30" s="355">
        <f t="shared" si="3"/>
        <v>0.1231170596160243</v>
      </c>
      <c r="J30" s="356">
        <f>MIN(0.3*Rural!B30,Rural!I30*Assumptions!$E$11)</f>
        <v>1136396.6228773068</v>
      </c>
      <c r="K30" s="356"/>
      <c r="L30" s="357">
        <f>I30*Assumptions!$E$11-Rural!J30</f>
        <v>0</v>
      </c>
      <c r="M30" s="322">
        <f t="shared" si="4"/>
        <v>0.12641066133452175</v>
      </c>
      <c r="N30" s="325">
        <f>MIN(0.3*B30,M30*Assumptions!$E$11)</f>
        <v>1166797.2666359907</v>
      </c>
      <c r="O30" s="325"/>
      <c r="P30" s="321">
        <f>M30*Assumptions!$E$11-N30</f>
        <v>0</v>
      </c>
      <c r="Q30" s="302"/>
      <c r="R30" s="450">
        <f>VLOOKUP($A30,OpCost[[Agency]:[FY25 Operating Cost Performance]], 5, FALSE)</f>
        <v>5803873</v>
      </c>
      <c r="S30">
        <f>VLOOKUP($A30,Ridership[[Agency]:[FY25 Ridership]],6, FALSE)</f>
        <v>128678</v>
      </c>
      <c r="T30">
        <f>VLOOKUP($A30,VRH[[Agency]:[FY25 Revenue Hours]], 5, FALSE)</f>
        <v>59749</v>
      </c>
      <c r="U30">
        <f>VLOOKUP($A30,VRM[[Agency]:[FY25 Revenue Miles]], 5, FALSE)</f>
        <v>1392527</v>
      </c>
      <c r="V30" s="302"/>
      <c r="W30" s="991">
        <f t="shared" si="5"/>
        <v>2.1536427387906074</v>
      </c>
      <c r="X30" s="991">
        <f t="shared" si="6"/>
        <v>9.2406107745128099E-2</v>
      </c>
      <c r="Y30" s="992">
        <f t="shared" si="7"/>
        <v>97.137575524276556</v>
      </c>
      <c r="Z30" s="992">
        <f t="shared" si="8"/>
        <v>4.1678710717996852</v>
      </c>
      <c r="AA30" s="992">
        <f t="shared" si="9"/>
        <v>45.103848365687995</v>
      </c>
      <c r="AB30" s="1007">
        <f t="shared" si="10"/>
        <v>0</v>
      </c>
      <c r="AC30" s="1007">
        <f t="shared" si="11"/>
        <v>0</v>
      </c>
      <c r="AD30" s="1007">
        <f t="shared" si="12"/>
        <v>0</v>
      </c>
      <c r="AE30" s="1007">
        <f t="shared" si="13"/>
        <v>0</v>
      </c>
      <c r="AF30" s="1084">
        <f t="shared" si="14"/>
        <v>0</v>
      </c>
      <c r="AG30" s="1008">
        <f t="shared" si="15"/>
        <v>0</v>
      </c>
      <c r="AH30" s="1082">
        <f t="shared" si="16"/>
        <v>0</v>
      </c>
      <c r="AI30" s="1011">
        <f t="shared" si="17"/>
        <v>0</v>
      </c>
      <c r="AJ30" s="1012">
        <f t="shared" si="18"/>
        <v>0</v>
      </c>
      <c r="AK30" s="1083">
        <f t="shared" si="19"/>
        <v>1166797.2666359907</v>
      </c>
      <c r="AL30" s="912">
        <f t="shared" si="20"/>
        <v>1166797.2666359907</v>
      </c>
      <c r="AM30" s="1020">
        <f>VLOOKUP(A30,'Allocation Calculations_FY27'!$B$12:$CH$50, 85, FALSE)</f>
        <v>1069452.3874129404</v>
      </c>
      <c r="AN30" s="1021">
        <f t="shared" si="21"/>
        <v>97344.879223050317</v>
      </c>
      <c r="AO30" s="1022">
        <f t="shared" si="22"/>
        <v>9.1023107123574268E-2</v>
      </c>
      <c r="AP30" s="913">
        <f t="shared" si="23"/>
        <v>6.5896942512736797E-2</v>
      </c>
    </row>
    <row r="31" spans="1:42" ht="14.25">
      <c r="A31" s="1100" t="s">
        <v>55</v>
      </c>
      <c r="B31" s="1101">
        <f>VLOOKUP($A31, 'Allocation Calculations_FY27'!$B$12:$G$50, 3, FALSE)</f>
        <v>174101</v>
      </c>
      <c r="C31" s="1102">
        <f>VLOOKUP($A31, OpCost[], 10, FALSE)</f>
        <v>150435.66666666666</v>
      </c>
      <c r="D31" s="1103">
        <f>VLOOKUP($A31, Ridership[], 10, FALSE)</f>
        <v>5951.333333333333</v>
      </c>
      <c r="E31" s="1103">
        <f>VLOOKUP($A31, VRHsizing[], 10, FALSE)</f>
        <v>1433.6666666666667</v>
      </c>
      <c r="F31" s="1103">
        <f>VLOOKUP($A31, VRMsizing[], 10, FALSE)</f>
        <v>18279.666666666668</v>
      </c>
      <c r="G31" s="1104">
        <f t="shared" si="1"/>
        <v>3.5301772072183512E-3</v>
      </c>
      <c r="H31" s="1104">
        <f t="shared" si="2"/>
        <v>3.412464656832414E-3</v>
      </c>
      <c r="I31" s="1105">
        <f t="shared" si="3"/>
        <v>3.5301772072183512E-3</v>
      </c>
      <c r="J31" s="1106">
        <f>MIN(0.3*Rural!B31,Rural!I31*Assumptions!$E$11)</f>
        <v>32584.285792342271</v>
      </c>
      <c r="K31" s="1106"/>
      <c r="L31" s="1107">
        <f>I31*Assumptions!$E$11-Rural!J31</f>
        <v>0</v>
      </c>
      <c r="M31" s="334">
        <f t="shared" si="4"/>
        <v>3.412464656832414E-3</v>
      </c>
      <c r="N31" s="1108">
        <f>MIN(0.3*B31,M31*Assumptions!$E$11)</f>
        <v>31497.773938127688</v>
      </c>
      <c r="O31" s="1108"/>
      <c r="P31" s="1109">
        <f>M31*Assumptions!$E$11-N31</f>
        <v>0</v>
      </c>
      <c r="Q31" s="302"/>
      <c r="R31" s="450">
        <f>VLOOKUP($A31,OpCost[[Agency]:[FY25 Operating Cost Performance]], 5, FALSE)</f>
        <v>165644</v>
      </c>
      <c r="S31">
        <f>VLOOKUP($A31,Ridership[[Agency]:[FY25 Ridership]],6, FALSE)</f>
        <v>7175</v>
      </c>
      <c r="T31">
        <f>VLOOKUP($A31,VRH[[Agency]:[FY25 Revenue Hours]], 5, FALSE)</f>
        <v>1600</v>
      </c>
      <c r="U31">
        <f>VLOOKUP($A31,VRM[[Agency]:[FY25 Revenue Miles]], 5, FALSE)</f>
        <v>20921</v>
      </c>
      <c r="V31" s="302"/>
      <c r="W31" s="1110">
        <f t="shared" si="5"/>
        <v>4.484375</v>
      </c>
      <c r="X31" s="1110">
        <f t="shared" si="6"/>
        <v>0.34295683762726448</v>
      </c>
      <c r="Y31" s="1111">
        <f t="shared" si="7"/>
        <v>103.5275</v>
      </c>
      <c r="Z31" s="1111">
        <f t="shared" si="8"/>
        <v>7.9175947612446826</v>
      </c>
      <c r="AA31" s="1111">
        <f t="shared" si="9"/>
        <v>23.086271777003486</v>
      </c>
      <c r="AB31" s="1112">
        <f t="shared" si="10"/>
        <v>0</v>
      </c>
      <c r="AC31" s="1112">
        <f t="shared" si="11"/>
        <v>0</v>
      </c>
      <c r="AD31" s="1112">
        <f t="shared" si="12"/>
        <v>0</v>
      </c>
      <c r="AE31" s="1112">
        <f t="shared" si="13"/>
        <v>0</v>
      </c>
      <c r="AF31" s="1113">
        <f t="shared" si="14"/>
        <v>0</v>
      </c>
      <c r="AG31" s="1149">
        <f t="shared" si="15"/>
        <v>0</v>
      </c>
      <c r="AH31" s="1082">
        <f t="shared" si="16"/>
        <v>0</v>
      </c>
      <c r="AI31" s="1114">
        <f t="shared" si="17"/>
        <v>0</v>
      </c>
      <c r="AJ31" s="1115">
        <f t="shared" si="18"/>
        <v>0</v>
      </c>
      <c r="AK31" s="1116">
        <f t="shared" si="19"/>
        <v>31497.773938127688</v>
      </c>
      <c r="AL31" s="1117">
        <f t="shared" si="20"/>
        <v>31497.773938127688</v>
      </c>
      <c r="AM31" s="1118">
        <f>VLOOKUP(A31,'Allocation Calculations_FY27'!$B$12:$CH$50, 85, FALSE)</f>
        <v>33142.13259715867</v>
      </c>
      <c r="AN31" s="1119">
        <f t="shared" si="21"/>
        <v>-1644.3586590309824</v>
      </c>
      <c r="AO31" s="1140">
        <f t="shared" si="22"/>
        <v>-4.961535454033987E-2</v>
      </c>
      <c r="AP31" s="913">
        <v>0</v>
      </c>
    </row>
    <row r="32" spans="1:42" ht="15" thickBot="1">
      <c r="A32" s="1122" t="s">
        <v>35</v>
      </c>
      <c r="B32" s="1123">
        <f>VLOOKUP($A32, 'Allocation Calculations_FY27'!$B$12:$G$50, 3, FALSE)</f>
        <v>3065339</v>
      </c>
      <c r="C32" s="1124">
        <f>VLOOKUP($A32, OpCost[], 10, FALSE)</f>
        <v>2921806</v>
      </c>
      <c r="D32" s="1125">
        <f>VLOOKUP($A32, Ridership[], 10, FALSE)</f>
        <v>173668.66666666666</v>
      </c>
      <c r="E32" s="1125">
        <f>VLOOKUP($A32, VRHsizing[], 10, FALSE)</f>
        <v>45775.333333333336</v>
      </c>
      <c r="F32" s="1125">
        <f>VLOOKUP($A32, VRMsizing[], 10, FALSE)</f>
        <v>495519.66666666669</v>
      </c>
      <c r="G32" s="1126">
        <f t="shared" si="1"/>
        <v>8.3988375863937648E-2</v>
      </c>
      <c r="H32" s="1126">
        <f t="shared" si="2"/>
        <v>8.2670953431219774E-2</v>
      </c>
      <c r="I32" s="1127">
        <f t="shared" si="3"/>
        <v>8.3988375863937648E-2</v>
      </c>
      <c r="J32" s="1128">
        <f>MIN(0.3*Rural!B32,Rural!I32*Assumptions!$E$11)</f>
        <v>775230.55692199233</v>
      </c>
      <c r="K32" s="1128"/>
      <c r="L32" s="1129">
        <f>I32*Assumptions!$E$11-Rural!J32</f>
        <v>0</v>
      </c>
      <c r="M32" s="1130">
        <f t="shared" si="4"/>
        <v>8.2670953431219774E-2</v>
      </c>
      <c r="N32" s="1131">
        <f>MIN(0.3*B32,M32*Assumptions!$E$11)</f>
        <v>763070.46791310457</v>
      </c>
      <c r="O32" s="1131"/>
      <c r="P32" s="1132">
        <f>M32*Assumptions!$E$11-N32</f>
        <v>0</v>
      </c>
      <c r="Q32" s="1133"/>
      <c r="R32" s="1134">
        <f>VLOOKUP($A32,OpCost[[Agency]:[FY25 Operating Cost Performance]], 5, FALSE)</f>
        <v>2998198</v>
      </c>
      <c r="S32" s="1135">
        <f>VLOOKUP($A32,Ridership[[Agency]:[FY25 Ridership]],6, FALSE)</f>
        <v>180698</v>
      </c>
      <c r="T32" s="1135">
        <f>VLOOKUP($A32,VRH[[Agency]:[FY25 Revenue Hours]], 5, FALSE)</f>
        <v>42313</v>
      </c>
      <c r="U32" s="1135">
        <f>VLOOKUP($A32,VRM[[Agency]:[FY25 Revenue Miles]], 5, FALSE)</f>
        <v>522054</v>
      </c>
      <c r="V32" s="1136"/>
      <c r="W32" s="994">
        <f t="shared" si="5"/>
        <v>4.2705078817384727</v>
      </c>
      <c r="X32" s="1110">
        <f t="shared" si="6"/>
        <v>0.34612894451531834</v>
      </c>
      <c r="Y32" s="1111">
        <f t="shared" si="7"/>
        <v>70.857608772717612</v>
      </c>
      <c r="Z32" s="1111">
        <f t="shared" si="8"/>
        <v>5.7430802177552511</v>
      </c>
      <c r="AA32" s="1111">
        <f t="shared" si="9"/>
        <v>16.592314248082435</v>
      </c>
      <c r="AB32" s="1112">
        <f t="shared" si="10"/>
        <v>0</v>
      </c>
      <c r="AC32" s="1112">
        <f t="shared" si="11"/>
        <v>0</v>
      </c>
      <c r="AD32" s="1112">
        <f t="shared" si="12"/>
        <v>0</v>
      </c>
      <c r="AE32" s="1112">
        <f t="shared" si="13"/>
        <v>0</v>
      </c>
      <c r="AF32" s="1113">
        <f t="shared" si="14"/>
        <v>1</v>
      </c>
      <c r="AG32" s="1149">
        <f t="shared" si="15"/>
        <v>1</v>
      </c>
      <c r="AH32" s="1141">
        <f t="shared" si="16"/>
        <v>8.2670953431219774E-2</v>
      </c>
      <c r="AI32" s="1114">
        <f t="shared" si="17"/>
        <v>9.2506668388377886E-2</v>
      </c>
      <c r="AJ32" s="1115">
        <f t="shared" si="18"/>
        <v>56654.620149713672</v>
      </c>
      <c r="AK32" s="1142">
        <f t="shared" si="19"/>
        <v>763070.46791310457</v>
      </c>
      <c r="AL32" s="937">
        <f t="shared" si="20"/>
        <v>819725.08806281828</v>
      </c>
      <c r="AM32" s="1023">
        <f>VLOOKUP(A32,'Allocation Calculations_FY27'!$B$12:$CH$50, 85, FALSE)</f>
        <v>681408.83838909399</v>
      </c>
      <c r="AN32" s="1024">
        <f t="shared" si="21"/>
        <v>138316.24967372429</v>
      </c>
      <c r="AO32" s="1025">
        <f t="shared" si="22"/>
        <v>0.20298569945279132</v>
      </c>
      <c r="AP32" s="914">
        <f t="shared" si="23"/>
        <v>4.412462355741633E-2</v>
      </c>
    </row>
    <row r="33" spans="1:42" ht="15.75" thickTop="1" thickBot="1">
      <c r="A33" s="363" t="s">
        <v>121</v>
      </c>
      <c r="B33" s="364" t="s">
        <v>173</v>
      </c>
      <c r="C33" s="365">
        <f t="shared" ref="C33:J33" si="24">SUM(C13:C32)</f>
        <v>37866661.999999993</v>
      </c>
      <c r="D33" s="366">
        <f t="shared" si="24"/>
        <v>1722604.6666666665</v>
      </c>
      <c r="E33" s="366">
        <f t="shared" si="24"/>
        <v>490135.31222143339</v>
      </c>
      <c r="F33" s="366">
        <f t="shared" si="24"/>
        <v>8508797.6036666669</v>
      </c>
      <c r="G33" s="367">
        <f t="shared" si="24"/>
        <v>1</v>
      </c>
      <c r="H33" s="367">
        <f t="shared" si="24"/>
        <v>1</v>
      </c>
      <c r="I33" s="368">
        <f t="shared" si="24"/>
        <v>1</v>
      </c>
      <c r="J33" s="383">
        <f t="shared" si="24"/>
        <v>9137147.277286876</v>
      </c>
      <c r="K33" s="383"/>
      <c r="L33" s="378">
        <f>SUM(L13:L32)</f>
        <v>93065.22471312483</v>
      </c>
      <c r="M33" s="313">
        <f>SUM(M13:M32)</f>
        <v>1</v>
      </c>
      <c r="N33" s="326">
        <f>SUM(N13:N32)</f>
        <v>9114456.0169303585</v>
      </c>
      <c r="O33" s="326"/>
      <c r="P33" s="314">
        <f>SUM(P13:P32)</f>
        <v>115756.48506964225</v>
      </c>
      <c r="Q33" s="302"/>
      <c r="R33" s="1120">
        <f>SUM(R13:R32)</f>
        <v>38620388</v>
      </c>
      <c r="S33" s="1121">
        <f t="shared" ref="S33:U33" si="25">SUM(S13:S32)</f>
        <v>1791257</v>
      </c>
      <c r="T33" s="1121">
        <f t="shared" si="25"/>
        <v>483938.39</v>
      </c>
      <c r="U33" s="1121">
        <f t="shared" si="25"/>
        <v>8648903.0209999997</v>
      </c>
      <c r="V33" s="461" t="s">
        <v>122</v>
      </c>
      <c r="W33" s="997">
        <f t="shared" si="5"/>
        <v>3.7014153805818131</v>
      </c>
      <c r="X33" s="1000">
        <f t="shared" si="6"/>
        <v>0.20710799920530176</v>
      </c>
      <c r="Y33" s="1001">
        <f t="shared" si="7"/>
        <v>79.804348648595536</v>
      </c>
      <c r="Z33" s="1001">
        <f t="shared" si="8"/>
        <v>4.4653510284746663</v>
      </c>
      <c r="AA33" s="1001">
        <f t="shared" si="9"/>
        <v>21.560495227652982</v>
      </c>
      <c r="AB33" s="1076">
        <f>SUM(AB13:AB32)</f>
        <v>0</v>
      </c>
      <c r="AC33" s="1076">
        <f t="shared" ref="AC33:AF33" si="26">SUM(AC13:AC32)</f>
        <v>0</v>
      </c>
      <c r="AD33" s="1076">
        <f t="shared" si="26"/>
        <v>8</v>
      </c>
      <c r="AE33" s="1076">
        <f t="shared" si="26"/>
        <v>8</v>
      </c>
      <c r="AF33" s="1144">
        <f t="shared" si="26"/>
        <v>8</v>
      </c>
      <c r="AG33" s="1150">
        <f>SUM(AG13:AG32)</f>
        <v>24</v>
      </c>
      <c r="AH33" s="1145">
        <f>SUM(AH13:AH32)</f>
        <v>0.89367561140712504</v>
      </c>
      <c r="AI33" s="1146">
        <f>SUM(AI13:AI32)</f>
        <v>1</v>
      </c>
      <c r="AJ33" s="1012">
        <f t="shared" si="18"/>
        <v>612438.22890536068</v>
      </c>
      <c r="AK33" s="1147">
        <f>SUM(AK13:AK32)</f>
        <v>9114456.0169303585</v>
      </c>
      <c r="AL33" s="459">
        <f>SUM(AL13:AL32)</f>
        <v>9726894.2458357178</v>
      </c>
      <c r="AM33" s="1026">
        <f>SUM(AM13:AM32)</f>
        <v>8396492.3716625944</v>
      </c>
      <c r="AN33" s="1027"/>
      <c r="AO33" s="1028"/>
    </row>
    <row r="34" spans="1:42" ht="15" thickBot="1">
      <c r="A34" s="301"/>
      <c r="B34" s="301"/>
      <c r="C34" s="370"/>
      <c r="D34" s="371"/>
      <c r="E34" s="371"/>
      <c r="F34" s="371"/>
      <c r="G34" s="371"/>
      <c r="H34" s="372"/>
      <c r="I34" s="373"/>
      <c r="J34" s="374"/>
      <c r="K34" s="374"/>
      <c r="L34" s="374"/>
      <c r="M34" s="306"/>
      <c r="N34" s="307"/>
      <c r="O34" s="302"/>
      <c r="P34" s="308"/>
      <c r="Q34" s="302"/>
      <c r="V34" s="461" t="s">
        <v>124</v>
      </c>
      <c r="W34" s="1000">
        <f>MEDIAN(W13:W32)</f>
        <v>3.9305920147106708</v>
      </c>
      <c r="X34" s="997">
        <f t="shared" ref="X34:AA34" si="27">MEDIAN(X13:X32)</f>
        <v>0.21704663076126296</v>
      </c>
      <c r="Y34" s="1143">
        <f t="shared" si="27"/>
        <v>74.737598709599098</v>
      </c>
      <c r="Z34" s="1143">
        <f t="shared" si="27"/>
        <v>4.1785862759673575</v>
      </c>
      <c r="AA34" s="1143">
        <f t="shared" si="27"/>
        <v>19.421478886609194</v>
      </c>
      <c r="AB34" s="302"/>
      <c r="AC34" s="302"/>
      <c r="AD34" s="302"/>
      <c r="AE34" s="302"/>
      <c r="AF34" s="302"/>
      <c r="AG34" s="302"/>
      <c r="AH34" s="302"/>
      <c r="AI34" s="302"/>
      <c r="AJ34" s="302"/>
      <c r="AK34" s="302"/>
      <c r="AL34" s="983"/>
      <c r="AM34" s="983"/>
      <c r="AN34" s="302"/>
      <c r="AO34" s="302"/>
    </row>
    <row r="35" spans="1:42" ht="14.25">
      <c r="A35" s="375"/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2"/>
      <c r="P35" s="302"/>
      <c r="Q35" s="302"/>
      <c r="V35" s="461" t="s">
        <v>126</v>
      </c>
      <c r="W35" s="1000">
        <f>AVERAGE(W13:W32)</f>
        <v>4.1264581940231739</v>
      </c>
      <c r="X35" s="1000">
        <f t="shared" ref="X35:AA35" si="28">AVERAGE(X13:X32)</f>
        <v>0.25661788258279672</v>
      </c>
      <c r="Y35" s="1041">
        <f t="shared" si="28"/>
        <v>75.418809953672536</v>
      </c>
      <c r="Z35" s="1041">
        <f t="shared" si="28"/>
        <v>4.6318869705843806</v>
      </c>
      <c r="AA35" s="1041">
        <f t="shared" si="28"/>
        <v>20.839619727376991</v>
      </c>
      <c r="AB35" s="302"/>
      <c r="AC35" s="302"/>
      <c r="AD35" s="302"/>
      <c r="AE35" s="302"/>
      <c r="AF35" s="302"/>
      <c r="AG35" s="302"/>
      <c r="AH35" s="302"/>
      <c r="AI35" s="302"/>
      <c r="AJ35" s="302"/>
      <c r="AK35" s="302"/>
      <c r="AL35" s="302"/>
      <c r="AM35" s="302"/>
      <c r="AN35" s="302"/>
      <c r="AO35" s="302"/>
    </row>
    <row r="36" spans="1:42">
      <c r="A36" s="1099"/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V36" s="975" t="s">
        <v>65</v>
      </c>
      <c r="W36" s="976">
        <f>PERCENTILE(W13:W32,$V7)</f>
        <v>4.1049680429775206</v>
      </c>
      <c r="X36" s="976">
        <f>PERCENTILE(X13:X32,$V7)</f>
        <v>0.23619806668096077</v>
      </c>
      <c r="Y36" s="977">
        <f>PERCENTILE(Y13:Y32,(1-$V7))</f>
        <v>69.692989978353637</v>
      </c>
      <c r="Z36" s="977">
        <f>PERCENTILE(Z13:Z32,(1-$V7))</f>
        <v>4.0578061789976321</v>
      </c>
      <c r="AA36" s="977">
        <f>PERCENTILE(AA13:AA32,(1-$V7))</f>
        <v>17.139416376644935</v>
      </c>
      <c r="AB36" s="1019"/>
      <c r="AC36" s="302"/>
      <c r="AD36" s="461"/>
      <c r="AE36" s="302"/>
      <c r="AF36" s="302"/>
      <c r="AG36" s="302"/>
      <c r="AH36" s="302"/>
      <c r="AI36" s="302"/>
      <c r="AJ36" s="302"/>
      <c r="AK36" s="302"/>
      <c r="AL36" s="302"/>
      <c r="AM36" s="302"/>
      <c r="AN36" s="302"/>
      <c r="AO36" s="302"/>
    </row>
    <row r="37" spans="1:42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V37" s="533" t="s">
        <v>127</v>
      </c>
      <c r="W37" s="1155">
        <v>3.1082858660126309</v>
      </c>
      <c r="X37" s="1155">
        <v>0.20635524405463498</v>
      </c>
      <c r="Y37" s="1156">
        <v>55.061574406323651</v>
      </c>
      <c r="Z37" s="1156">
        <v>3.5012670287300849</v>
      </c>
      <c r="AA37" s="1156">
        <v>19.840487117333982</v>
      </c>
      <c r="AB37" s="302"/>
      <c r="AC37" s="302"/>
      <c r="AD37" s="302"/>
      <c r="AE37" s="302"/>
      <c r="AF37" s="302"/>
      <c r="AG37" s="302"/>
      <c r="AH37" s="302"/>
      <c r="AI37" s="302"/>
      <c r="AJ37" s="1085"/>
      <c r="AK37" s="1085"/>
      <c r="AL37" s="308"/>
      <c r="AM37" s="461"/>
      <c r="AN37" s="302"/>
      <c r="AO37" s="302"/>
    </row>
    <row r="38" spans="1:42" hidden="1">
      <c r="A38" s="302"/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V38" s="533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1087"/>
      <c r="AH38" s="1086"/>
      <c r="AI38" s="988">
        <f>Assumptions!E19</f>
        <v>456502.39252870966</v>
      </c>
      <c r="AJ38" s="1085"/>
      <c r="AK38" s="1085"/>
      <c r="AL38" s="308"/>
      <c r="AM38" s="461"/>
      <c r="AN38" s="302"/>
      <c r="AO38" s="302"/>
    </row>
    <row r="39" spans="1:42" ht="15" hidden="1" thickBot="1">
      <c r="B39" s="1158" t="s">
        <v>81</v>
      </c>
      <c r="C39" s="1159"/>
      <c r="D39" s="1159"/>
      <c r="E39" s="1159"/>
      <c r="F39" s="1159"/>
      <c r="G39" s="1160"/>
      <c r="H39" s="1160"/>
      <c r="I39" s="1161" t="s">
        <v>70</v>
      </c>
      <c r="J39" s="1161"/>
      <c r="K39" s="1161"/>
      <c r="L39" s="1161"/>
      <c r="M39" s="1162" t="s">
        <v>71</v>
      </c>
      <c r="N39" s="1162"/>
      <c r="O39" s="1162"/>
      <c r="P39" s="1162"/>
    </row>
    <row r="40" spans="1:42" ht="72" hidden="1" thickBot="1">
      <c r="A40" s="471" t="s">
        <v>82</v>
      </c>
      <c r="B40" s="346" t="s">
        <v>133</v>
      </c>
      <c r="C40" s="347" t="s">
        <v>134</v>
      </c>
      <c r="D40" s="347" t="s">
        <v>135</v>
      </c>
      <c r="E40" s="347" t="s">
        <v>136</v>
      </c>
      <c r="F40" s="347" t="s">
        <v>137</v>
      </c>
      <c r="G40" s="347" t="s">
        <v>88</v>
      </c>
      <c r="H40" s="347" t="s">
        <v>89</v>
      </c>
      <c r="I40" s="348" t="s">
        <v>90</v>
      </c>
      <c r="J40" s="349" t="s">
        <v>91</v>
      </c>
      <c r="K40" s="349"/>
      <c r="L40" s="350" t="s">
        <v>3</v>
      </c>
      <c r="M40" s="311" t="s">
        <v>92</v>
      </c>
      <c r="N40" s="327" t="s">
        <v>93</v>
      </c>
      <c r="O40" s="327"/>
      <c r="P40" s="312" t="s">
        <v>3</v>
      </c>
      <c r="Q40" s="302"/>
      <c r="R40" s="503" t="s">
        <v>138</v>
      </c>
      <c r="S40" s="503" t="s">
        <v>139</v>
      </c>
      <c r="T40" s="503" t="s">
        <v>140</v>
      </c>
      <c r="U40" s="503" t="s">
        <v>141</v>
      </c>
      <c r="V40" s="286"/>
      <c r="W40" s="504" t="s">
        <v>193</v>
      </c>
      <c r="X40" s="504" t="s">
        <v>194</v>
      </c>
      <c r="Y40" s="504" t="s">
        <v>195</v>
      </c>
      <c r="Z40" s="504" t="s">
        <v>196</v>
      </c>
      <c r="AA40" s="504" t="s">
        <v>197</v>
      </c>
      <c r="AB40" s="463" t="s">
        <v>143</v>
      </c>
      <c r="AC40" s="463" t="s">
        <v>144</v>
      </c>
      <c r="AD40" s="463" t="s">
        <v>145</v>
      </c>
      <c r="AE40" s="463" t="s">
        <v>146</v>
      </c>
      <c r="AF40" s="514" t="s">
        <v>147</v>
      </c>
      <c r="AG40" s="513" t="s">
        <v>113</v>
      </c>
      <c r="AI40" s="503" t="s">
        <v>114</v>
      </c>
      <c r="AJ40" s="503" t="s">
        <v>172</v>
      </c>
      <c r="AK40" s="981"/>
      <c r="AL40" s="911" t="s">
        <v>116</v>
      </c>
      <c r="AM40" s="915" t="s">
        <v>117</v>
      </c>
      <c r="AN40" s="916" t="s">
        <v>118</v>
      </c>
      <c r="AO40" s="916" t="s">
        <v>119</v>
      </c>
      <c r="AP40" s="963" t="s">
        <v>120</v>
      </c>
    </row>
    <row r="41" spans="1:42" ht="14.25" hidden="1">
      <c r="A41" s="521" t="s">
        <v>59</v>
      </c>
      <c r="B41" s="351">
        <f>VLOOKUP($A41, 'Allocation Calculations_FY26'!$B$12:$D$49, 3, FALSE)</f>
        <v>69734</v>
      </c>
      <c r="C41" s="352">
        <f>VLOOKUP($A41, OpCost[], 11, FALSE)</f>
        <v>62932.333333333336</v>
      </c>
      <c r="D41" s="353">
        <f>VLOOKUP($A41, Ridership[], 11, FALSE)</f>
        <v>4129.666666666667</v>
      </c>
      <c r="E41" s="353">
        <f>VLOOKUP($A41, VRHsizing[], 11, FALSE)</f>
        <v>923.66666666666663</v>
      </c>
      <c r="F41" s="353">
        <f>VLOOKUP($A41, VRMsizing[], 11, FALSE)</f>
        <v>8296</v>
      </c>
      <c r="G41" s="354">
        <f t="shared" ref="G41:G60" si="29">IFERROR($I$9*(C41/C$61),0) + IFERROR($J$9*(D41/D$61),0) + IFERROR($K$9*(E41/E$61),0) + IFERROR($L$9*(F41/F$61),0)</f>
        <v>1.9472659588519617E-3</v>
      </c>
      <c r="H41" s="354">
        <f t="shared" ref="H41:H60" si="30">IFERROR($M$9*(C41/C$61),0) + IFERROR($N$9*(D41/D$61),0) + IFERROR($O$9*(E41/E$61),0) + IFERROR($P$9*(F41/F$61),0)</f>
        <v>1.874476944962326E-3</v>
      </c>
      <c r="I41" s="355">
        <f>G41/SUM($G$41:$G$60)</f>
        <v>1.9472659588519617E-3</v>
      </c>
      <c r="J41" s="356">
        <f>MIN(0.3*Rural!B41,Rural!I41*Assumptions!$E$20)</f>
        <v>16478.308091357285</v>
      </c>
      <c r="K41" s="356"/>
      <c r="L41" s="357">
        <f>I41*Assumptions!$E$20-Rural!J41</f>
        <v>0</v>
      </c>
      <c r="M41" s="320">
        <f>H41/SUM($H$41:$H$60)</f>
        <v>1.8744769449623262E-3</v>
      </c>
      <c r="N41" s="325">
        <f>MIN(0.3*B41,M41*Assumptions!$E$20)</f>
        <v>15862.347137956423</v>
      </c>
      <c r="O41" s="325"/>
      <c r="P41" s="321">
        <f>M41*Assumptions!$E$20-N41</f>
        <v>0</v>
      </c>
      <c r="Q41" s="302"/>
      <c r="R41" s="450">
        <f>VLOOKUP($A41,OpCost[[Agency]:[FY25 Operating Cost Performance]], 5, FALSE)</f>
        <v>71294</v>
      </c>
      <c r="S41">
        <f>VLOOKUP($A41,Ridership[[Agency]:[FY25 Ridership]], 5, FALSE)</f>
        <v>6243</v>
      </c>
      <c r="T41">
        <f>VLOOKUP($A41,VRH[[Agency]:[FY25 Revenue Hours]], 4, FALSE)</f>
        <v>1389</v>
      </c>
      <c r="U41">
        <f>VLOOKUP($A41,VRM[[Agency]:[FY25 Revenue Miles]], 4, FALSE)</f>
        <v>4641</v>
      </c>
      <c r="W41" s="455">
        <f>S41/T41</f>
        <v>4.4946004319654431</v>
      </c>
      <c r="X41" s="455">
        <f>S41/U41</f>
        <v>1.3451842275371688</v>
      </c>
      <c r="Y41" s="456">
        <f>R41/T41</f>
        <v>51.327573794096473</v>
      </c>
      <c r="Z41" s="456">
        <f>R41/U41</f>
        <v>15.361775479422539</v>
      </c>
      <c r="AA41" s="456">
        <f>R41/S41</f>
        <v>11.419830209835014</v>
      </c>
      <c r="AB41" s="466">
        <f>IF(W$10="Yes",(IF($V$6="Weighted Average",IF(W41&gt;=W$61,1,0),IF($V$6="MEDIAN",IF(W41&gt;=W$62,1,0),IF($V$6="MEAN",IF(W41&gt;=W$63,1,0),IF($V$6="PERCENTILE",IF(W41&gt;=W$64,1,0),IF(W41&gt;=W$65,1,0)) )))), 0)</f>
        <v>0</v>
      </c>
      <c r="AC41" s="466">
        <f>IF(X$10="Yes",(IF($V$6="Weighted Average",IF(X41&gt;=X$61,1,0),IF($V$6="MEDIAN",IF(X41&gt;=X$62,1,0),IF($V$6="MEAN",IF(X41&gt;=X$63,1,0),IF($V$6="PERCENTILE",IF(X41&gt;=X$64,1,0),IF(X41&gt;=X$65,1,0)) )))), 0)</f>
        <v>0</v>
      </c>
      <c r="AD41" s="466">
        <f>IF(Y$10="Yes",(IF($V$6="Weighted Average",IF(Y41&lt;=Y$61,1,0),IF($V$6="MEDIAN",IF(Y41&lt;=Y$62,1,0),IF($V$6="MEAN",IF(Y41&lt;=Y$63,1,0),IF($V$6="PERCENTILE",IF(Y41&lt;=Y$64,1,0),IF(Y41&lt;=Y$65,1,0)) )))), 0)</f>
        <v>1</v>
      </c>
      <c r="AE41" s="466">
        <f>IF(Z$10="Yes",(IF($V$6="Weighted Average",IF(Z41&lt;=Z$61,1,0),IF($V$6="MEDIAN",IF(Z41&lt;=Z$62,1,0),IF($V$6="MEAN",IF(Z41&lt;=Z$63,1,0),IF($V$6="PERCENTILE",IF(Z41&lt;=Z$64,1,0),IF(Z41&lt;=Z$65,1,0)) )))), 0)</f>
        <v>0</v>
      </c>
      <c r="AF41" s="466">
        <f>IF(AA$10="Yes",(IF($V$6="Weighted Average",IF(AA41&lt;=AA$61,1,0),IF($V$6="MEDIAN",IF(AA41&lt;=AA$62,1,0),IF($V$6="MEAN",IF(AA41&lt;=AA$63,1,0),IF($V$6="PERCENTILE",IF(AA41&lt;=AA$64,1,0),IF(AA41&lt;=AA$65,1,0)) )))), 0)</f>
        <v>1</v>
      </c>
      <c r="AG41" s="506">
        <f>MIN(SUM(AB41:AF41),$AG$6)</f>
        <v>2</v>
      </c>
      <c r="AH41" s="452">
        <f>M41*AG41</f>
        <v>3.7489538899246524E-3</v>
      </c>
      <c r="AI41" s="502">
        <f>AH41/$AH$61</f>
        <v>4.1330616193076628E-3</v>
      </c>
      <c r="AJ41" s="457">
        <f>AI41*$AI$38</f>
        <v>1886.7525176825311</v>
      </c>
      <c r="AK41" s="980"/>
      <c r="AL41" s="912">
        <f>AJ41+N41</f>
        <v>17749.099655638955</v>
      </c>
      <c r="AM41" s="918">
        <f>VLOOKUP(A41,'Allocation Calculations_FY26'!$B$12:$CH$49, 85, FALSE)</f>
        <v>21388.2</v>
      </c>
      <c r="AN41" s="501">
        <f>AL41-AM41</f>
        <v>-3639.1003443610462</v>
      </c>
      <c r="AO41" s="502">
        <f>AN41/AM41</f>
        <v>-0.17014523636215512</v>
      </c>
      <c r="AP41" s="938">
        <f>(AL41-AL69)/AL69</f>
        <v>0.10803863310366685</v>
      </c>
    </row>
    <row r="42" spans="1:42" ht="14.25" hidden="1">
      <c r="A42" s="521" t="s">
        <v>41</v>
      </c>
      <c r="B42" s="351">
        <f>VLOOKUP($A42, 'Allocation Calculations_FY26'!$B$12:$D$49, 3, FALSE)</f>
        <v>225862</v>
      </c>
      <c r="C42" s="352">
        <f>VLOOKUP($A42, OpCost[], 11, FALSE)</f>
        <v>196211.33333333334</v>
      </c>
      <c r="D42" s="353">
        <f>VLOOKUP($A42, Ridership[], 11, FALSE)</f>
        <v>9373</v>
      </c>
      <c r="E42" s="353">
        <f>VLOOKUP($A42, VRHsizing[], 11, FALSE)</f>
        <v>3008</v>
      </c>
      <c r="F42" s="353">
        <f>VLOOKUP($A42, VRMsizing[], 11, FALSE)</f>
        <v>53757</v>
      </c>
      <c r="G42" s="354">
        <f t="shared" si="29"/>
        <v>5.7763347351982696E-3</v>
      </c>
      <c r="H42" s="354">
        <f t="shared" si="30"/>
        <v>5.836611356277467E-3</v>
      </c>
      <c r="I42" s="355">
        <f t="shared" ref="I42:I60" si="31">G42/SUM($G$41:$G$60)</f>
        <v>5.7763347351982696E-3</v>
      </c>
      <c r="J42" s="356">
        <f>MIN(0.3*Rural!B42,Rural!I42*Assumptions!$E$20)</f>
        <v>48880.956898934855</v>
      </c>
      <c r="K42" s="356"/>
      <c r="L42" s="357">
        <f>I42*Assumptions!$E$20-Rural!J42</f>
        <v>0</v>
      </c>
      <c r="M42" s="322">
        <f t="shared" ref="M42:M60" si="32">H42/SUM($H$41:$H$60)</f>
        <v>5.8366113562774678E-3</v>
      </c>
      <c r="N42" s="325">
        <f>MIN(0.3*B42,M42*Assumptions!$E$20)</f>
        <v>49391.034491743296</v>
      </c>
      <c r="O42" s="325"/>
      <c r="P42" s="321">
        <f>M42*Assumptions!$E$20-N42</f>
        <v>0</v>
      </c>
      <c r="Q42" s="302"/>
      <c r="R42" s="450">
        <f>VLOOKUP($A42,OpCost[[Agency]:[FY25 Operating Cost Performance]], 5, FALSE)</f>
        <v>225862</v>
      </c>
      <c r="S42">
        <f>VLOOKUP($A42,Ridership[[Agency]:[FY25 Ridership]], 5, FALSE)</f>
        <v>11821</v>
      </c>
      <c r="T42">
        <f>VLOOKUP($A42,VRH[[Agency]:[FY25 Revenue Hours]], 4, FALSE)</f>
        <v>2826</v>
      </c>
      <c r="U42">
        <f>VLOOKUP($A42,VRM[[Agency]:[FY25 Revenue Miles]], 4, FALSE)</f>
        <v>54991</v>
      </c>
      <c r="W42" s="455">
        <f t="shared" ref="W42:W61" si="33">S42/T42</f>
        <v>4.1829440905874025</v>
      </c>
      <c r="X42" s="455">
        <f t="shared" ref="X42:X61" si="34">S42/U42</f>
        <v>0.21496244840064738</v>
      </c>
      <c r="Y42" s="456">
        <f t="shared" ref="Y42:Y61" si="35">R42/T42</f>
        <v>79.922859164897375</v>
      </c>
      <c r="Z42" s="456">
        <f t="shared" ref="Z42:Z61" si="36">R42/U42</f>
        <v>4.1072539142768818</v>
      </c>
      <c r="AA42" s="456">
        <f t="shared" ref="AA42:AA61" si="37">R42/S42</f>
        <v>19.106843752643602</v>
      </c>
      <c r="AB42" s="466">
        <f t="shared" ref="AB42:AB60" si="38">IF(W$10="Yes",(IF($V$6="Weighted Average",IF(W42&gt;=W$61,1,0),IF($V$6="MEDIAN",IF(W42&gt;=W$62,1,0),IF($V$6="MEAN",IF(W42&gt;=W$63,1,0),IF($V$6="PERCENTILE",IF(W42&gt;=W$64,1,0),IF(W42&gt;=W$65,1,0)) )))), 0)</f>
        <v>0</v>
      </c>
      <c r="AC42" s="466">
        <f t="shared" ref="AC42:AC60" si="39">IF(X$10="Yes",(IF($V$6="Weighted Average",IF(X42&gt;=X$61,1,0),IF($V$6="MEDIAN",IF(X42&gt;=X$62,1,0),IF($V$6="MEAN",IF(X42&gt;=X$63,1,0),IF($V$6="PERCENTILE",IF(X42&gt;=X$64,1,0),IF(X42&gt;=X$65,1,0)) )))), 0)</f>
        <v>0</v>
      </c>
      <c r="AD42" s="466">
        <f t="shared" ref="AD42:AD60" si="40">IF(Y$10="Yes",(IF($V$6="Weighted Average",IF(Y42&lt;=Y$61,1,0),IF($V$6="MEDIAN",IF(Y42&lt;=Y$62,1,0),IF($V$6="MEAN",IF(Y42&lt;=Y$63,1,0),IF($V$6="PERCENTILE",IF(Y42&lt;=Y$64,1,0),IF(Y42&lt;=Y$65,1,0)) )))), 0)</f>
        <v>0</v>
      </c>
      <c r="AE42" s="466">
        <f t="shared" ref="AE42:AE60" si="41">IF(Z$10="Yes",(IF($V$6="Weighted Average",IF(Z42&lt;=Z$61,1,0),IF($V$6="MEDIAN",IF(Z42&lt;=Z$62,1,0),IF($V$6="MEAN",IF(Z42&lt;=Z$63,1,0),IF($V$6="PERCENTILE",IF(Z42&lt;=Z$64,1,0),IF(Z42&lt;=Z$65,1,0)) )))), 0)</f>
        <v>0</v>
      </c>
      <c r="AF42" s="466">
        <f t="shared" ref="AF42:AF60" si="42">IF(AA$10="Yes",(IF($V$6="Weighted Average",IF(AA42&lt;=AA$61,1,0),IF($V$6="MEDIAN",IF(AA42&lt;=AA$62,1,0),IF($V$6="MEAN",IF(AA42&lt;=AA$63,1,0),IF($V$6="PERCENTILE",IF(AA42&lt;=AA$64,1,0),IF(AA42&lt;=AA$65,1,0)) )))), 0)</f>
        <v>0</v>
      </c>
      <c r="AG42" s="506">
        <f t="shared" ref="AG42:AG60" si="43">MIN(SUM(AB42:AF42),$AG$6)</f>
        <v>0</v>
      </c>
      <c r="AH42" s="452">
        <f t="shared" ref="AH42:AH60" si="44">M42*AG42</f>
        <v>0</v>
      </c>
      <c r="AI42" s="502">
        <f t="shared" ref="AI42:AI60" si="45">AH42/$AH$61</f>
        <v>0</v>
      </c>
      <c r="AJ42" s="457">
        <f t="shared" ref="AJ42:AJ60" si="46">AI42*$AI$38</f>
        <v>0</v>
      </c>
      <c r="AK42" s="980"/>
      <c r="AL42" s="912">
        <f t="shared" ref="AL42:AL60" si="47">AJ42+N42</f>
        <v>49391.034491743296</v>
      </c>
      <c r="AM42" s="918">
        <f>VLOOKUP(A42,'Allocation Calculations_FY26'!$B$12:$CH$49, 85, FALSE)</f>
        <v>56158.567959246582</v>
      </c>
      <c r="AN42" s="501">
        <f t="shared" ref="AN42:AN60" si="48">AL42-AM42</f>
        <v>-6767.5334675032864</v>
      </c>
      <c r="AO42" s="502">
        <f t="shared" ref="AO42:AO60" si="49">AN42/AM42</f>
        <v>-0.12050758616947609</v>
      </c>
      <c r="AP42" s="938">
        <f t="shared" ref="AP42:AP60" si="50">(AL42-AL70)/AL70</f>
        <v>4.8621636082207785E-2</v>
      </c>
    </row>
    <row r="43" spans="1:42" ht="14.25" hidden="1">
      <c r="A43" s="521" t="s">
        <v>57</v>
      </c>
      <c r="B43" s="351">
        <v>604843</v>
      </c>
      <c r="C43" s="352">
        <f>VLOOKUP($A43, OpCost[], 11, FALSE)</f>
        <v>631559.33333333337</v>
      </c>
      <c r="D43" s="353">
        <f>VLOOKUP($A43, Ridership[], 11, FALSE)</f>
        <v>27117.666666666668</v>
      </c>
      <c r="E43" s="353">
        <f>VLOOKUP($A43, VRHsizing[], 11, FALSE)</f>
        <v>15547.333333333334</v>
      </c>
      <c r="F43" s="353">
        <f>VLOOKUP($A43, VRMsizing[], 11, FALSE)</f>
        <v>415450.66666666669</v>
      </c>
      <c r="G43" s="354">
        <f t="shared" si="29"/>
        <v>2.2107176281902965E-2</v>
      </c>
      <c r="H43" s="354">
        <f t="shared" si="30"/>
        <v>2.4437164424312562E-2</v>
      </c>
      <c r="I43" s="355">
        <f t="shared" si="31"/>
        <v>2.2107176281902965E-2</v>
      </c>
      <c r="J43" s="356">
        <f>MIN(0.3*Rural!B43,Rural!I43*Assumptions!$E$20)</f>
        <v>181452.9</v>
      </c>
      <c r="K43" s="356"/>
      <c r="L43" s="357">
        <f>I43*Assumptions!$E$20-Rural!J43</f>
        <v>5624.1965553750924</v>
      </c>
      <c r="M43" s="322">
        <f t="shared" si="32"/>
        <v>2.4437164424312565E-2</v>
      </c>
      <c r="N43" s="325">
        <f>MIN(0.3*B43,M43*Assumptions!$E$20)</f>
        <v>181452.9</v>
      </c>
      <c r="O43" s="325"/>
      <c r="P43" s="321">
        <f>M43*Assumptions!$E$20-N43</f>
        <v>25341.20659465628</v>
      </c>
      <c r="Q43" s="302"/>
      <c r="R43" s="450">
        <f>VLOOKUP($A43,OpCost[[Agency]:[FY25 Operating Cost Performance]], 5, FALSE)</f>
        <v>604843</v>
      </c>
      <c r="S43">
        <f>VLOOKUP($A43,Ridership[[Agency]:[FY25 Ridership]], 5, FALSE)</f>
        <v>28882</v>
      </c>
      <c r="T43">
        <f>VLOOKUP($A43,VRH[[Agency]:[FY25 Revenue Hours]], 4, FALSE)</f>
        <v>15534</v>
      </c>
      <c r="U43">
        <f>VLOOKUP($A43,VRM[[Agency]:[FY25 Revenue Miles]], 4, FALSE)</f>
        <v>418259</v>
      </c>
      <c r="W43" s="455">
        <f t="shared" si="33"/>
        <v>1.8592764259044676</v>
      </c>
      <c r="X43" s="455">
        <f t="shared" si="34"/>
        <v>6.9052907409045586E-2</v>
      </c>
      <c r="Y43" s="456">
        <f t="shared" si="35"/>
        <v>38.936719454100682</v>
      </c>
      <c r="Z43" s="456">
        <f t="shared" si="36"/>
        <v>1.4460967964825622</v>
      </c>
      <c r="AA43" s="456">
        <f t="shared" si="37"/>
        <v>20.941866906723909</v>
      </c>
      <c r="AB43" s="466">
        <f t="shared" si="38"/>
        <v>0</v>
      </c>
      <c r="AC43" s="466">
        <f t="shared" si="39"/>
        <v>0</v>
      </c>
      <c r="AD43" s="466">
        <f t="shared" si="40"/>
        <v>1</v>
      </c>
      <c r="AE43" s="466">
        <f t="shared" si="41"/>
        <v>1</v>
      </c>
      <c r="AF43" s="466">
        <f t="shared" si="42"/>
        <v>0</v>
      </c>
      <c r="AG43" s="506">
        <f t="shared" si="43"/>
        <v>2</v>
      </c>
      <c r="AH43" s="452">
        <f t="shared" si="44"/>
        <v>4.887432884862513E-2</v>
      </c>
      <c r="AI43" s="502">
        <f t="shared" si="45"/>
        <v>5.3881861091050573E-2</v>
      </c>
      <c r="AJ43" s="457">
        <f t="shared" si="46"/>
        <v>24597.198501964176</v>
      </c>
      <c r="AK43" s="980"/>
      <c r="AL43" s="912">
        <f t="shared" si="47"/>
        <v>206050.09850196418</v>
      </c>
      <c r="AM43" s="918">
        <v>181452.9</v>
      </c>
      <c r="AN43" s="501">
        <f t="shared" si="48"/>
        <v>24597.198501964187</v>
      </c>
      <c r="AO43" s="502">
        <f t="shared" si="49"/>
        <v>0.13555693241587313</v>
      </c>
      <c r="AP43" s="938">
        <f t="shared" si="50"/>
        <v>-0.13967767547585591</v>
      </c>
    </row>
    <row r="44" spans="1:42" ht="14.25" hidden="1">
      <c r="A44" s="521" t="s">
        <v>44</v>
      </c>
      <c r="B44" s="351">
        <v>698366</v>
      </c>
      <c r="C44" s="352">
        <f>VLOOKUP($A44, OpCost[], 11, FALSE)</f>
        <v>263284</v>
      </c>
      <c r="D44" s="353">
        <f>VLOOKUP($A44, Ridership[], 11, FALSE)</f>
        <v>11868.333333333334</v>
      </c>
      <c r="E44" s="353">
        <f>VLOOKUP($A44, VRHsizing[], 11, FALSE)</f>
        <v>5258.666666666667</v>
      </c>
      <c r="F44" s="353">
        <f>VLOOKUP($A44, VRMsizing[], 11, FALSE)</f>
        <v>58715</v>
      </c>
      <c r="G44" s="354">
        <f t="shared" si="29"/>
        <v>7.7117107352531813E-3</v>
      </c>
      <c r="H44" s="354">
        <f t="shared" si="30"/>
        <v>7.8609436230744883E-3</v>
      </c>
      <c r="I44" s="355">
        <f t="shared" si="31"/>
        <v>7.7117107352531813E-3</v>
      </c>
      <c r="J44" s="356">
        <f>MIN(0.3*Rural!B44,Rural!I44*Assumptions!$E$20)</f>
        <v>65258.64884006331</v>
      </c>
      <c r="K44" s="356"/>
      <c r="L44" s="357">
        <f>I44*Assumptions!$E$20-Rural!J44</f>
        <v>0</v>
      </c>
      <c r="M44" s="322">
        <f t="shared" si="32"/>
        <v>7.86094362307449E-3</v>
      </c>
      <c r="N44" s="325">
        <f>MIN(0.3*B44,M44*Assumptions!$E$20)</f>
        <v>66521.499192735369</v>
      </c>
      <c r="O44" s="325"/>
      <c r="P44" s="321">
        <f>M44*Assumptions!$E$20-N44</f>
        <v>0</v>
      </c>
      <c r="Q44" s="302"/>
      <c r="R44" s="450">
        <f>VLOOKUP($A44,OpCost[[Agency]:[FY25 Operating Cost Performance]], 5, FALSE)</f>
        <v>457239</v>
      </c>
      <c r="S44">
        <f>VLOOKUP($A44,Ridership[[Agency]:[FY25 Ridership]], 5, FALSE)</f>
        <v>12090</v>
      </c>
      <c r="T44">
        <f>VLOOKUP($A44,VRH[[Agency]:[FY25 Revenue Hours]], 4, FALSE)</f>
        <v>5064</v>
      </c>
      <c r="U44">
        <f>VLOOKUP($A44,VRM[[Agency]:[FY25 Revenue Miles]], 4, FALSE)</f>
        <v>60529</v>
      </c>
      <c r="W44" s="455">
        <f t="shared" si="33"/>
        <v>2.3874407582938391</v>
      </c>
      <c r="X44" s="455">
        <f t="shared" si="34"/>
        <v>0.19973896809793654</v>
      </c>
      <c r="Y44" s="456">
        <f t="shared" si="35"/>
        <v>90.292061611374407</v>
      </c>
      <c r="Z44" s="456">
        <f t="shared" si="36"/>
        <v>7.5540484726329531</v>
      </c>
      <c r="AA44" s="456">
        <f t="shared" si="37"/>
        <v>37.819602977667493</v>
      </c>
      <c r="AB44" s="466">
        <f t="shared" si="38"/>
        <v>0</v>
      </c>
      <c r="AC44" s="466">
        <f t="shared" si="39"/>
        <v>0</v>
      </c>
      <c r="AD44" s="466">
        <f t="shared" si="40"/>
        <v>0</v>
      </c>
      <c r="AE44" s="466">
        <f t="shared" si="41"/>
        <v>0</v>
      </c>
      <c r="AF44" s="466">
        <f t="shared" si="42"/>
        <v>0</v>
      </c>
      <c r="AG44" s="506">
        <f t="shared" si="43"/>
        <v>0</v>
      </c>
      <c r="AH44" s="452">
        <f t="shared" si="44"/>
        <v>0</v>
      </c>
      <c r="AI44" s="502">
        <f t="shared" si="45"/>
        <v>0</v>
      </c>
      <c r="AJ44" s="457">
        <f t="shared" si="46"/>
        <v>0</v>
      </c>
      <c r="AK44" s="980"/>
      <c r="AL44" s="912">
        <f t="shared" si="47"/>
        <v>66521.499192735369</v>
      </c>
      <c r="AM44" s="918">
        <v>61833.656721746825</v>
      </c>
      <c r="AN44" s="501">
        <f t="shared" si="48"/>
        <v>4687.8424709885439</v>
      </c>
      <c r="AO44" s="502">
        <f t="shared" si="49"/>
        <v>7.581376744519519E-2</v>
      </c>
      <c r="AP44" s="938">
        <f t="shared" si="50"/>
        <v>6.2768502321255998E-2</v>
      </c>
    </row>
    <row r="45" spans="1:42" ht="14.25" hidden="1">
      <c r="A45" s="521" t="s">
        <v>36</v>
      </c>
      <c r="B45" s="351">
        <f>VLOOKUP($A45, 'Allocation Calculations_FY26'!$B$12:$D$49, 3, FALSE)</f>
        <v>698366</v>
      </c>
      <c r="C45" s="352">
        <f>VLOOKUP($A45, OpCost[], 11, FALSE)</f>
        <v>669130.66666666663</v>
      </c>
      <c r="D45" s="353">
        <f>VLOOKUP($A45, Ridership[], 11, FALSE)</f>
        <v>88001.333333333328</v>
      </c>
      <c r="E45" s="353">
        <f>VLOOKUP($A45, VRHsizing[], 11, FALSE)</f>
        <v>11530</v>
      </c>
      <c r="F45" s="353">
        <f>VLOOKUP($A45, VRMsizing[], 11, FALSE)</f>
        <v>171297.66666666666</v>
      </c>
      <c r="G45" s="354">
        <f t="shared" si="29"/>
        <v>3.0249350235851017E-2</v>
      </c>
      <c r="H45" s="354">
        <f t="shared" si="30"/>
        <v>2.877609471160043E-2</v>
      </c>
      <c r="I45" s="355">
        <f t="shared" si="31"/>
        <v>3.0249350235851017E-2</v>
      </c>
      <c r="J45" s="356">
        <f>MIN(0.3*Rural!B45,Rural!I45*Assumptions!$E$20)</f>
        <v>209509.8</v>
      </c>
      <c r="K45" s="356"/>
      <c r="L45" s="357">
        <f>I45*Assumptions!$E$20-Rural!J45</f>
        <v>46468.645308825362</v>
      </c>
      <c r="M45" s="322">
        <f t="shared" si="32"/>
        <v>2.8776094711600433E-2</v>
      </c>
      <c r="N45" s="325">
        <f>MIN(0.3*B45,M45*Assumptions!$E$20)</f>
        <v>209509.8</v>
      </c>
      <c r="O45" s="325"/>
      <c r="P45" s="321">
        <f>M45*Assumptions!$E$20-N45</f>
        <v>34001.545827351394</v>
      </c>
      <c r="Q45" s="302"/>
      <c r="R45" s="450">
        <f>VLOOKUP($A45,OpCost[[Agency]:[FY25 Operating Cost Performance]], 5, FALSE)</f>
        <v>698366</v>
      </c>
      <c r="S45">
        <f>VLOOKUP($A45,Ridership[[Agency]:[FY25 Ridership]], 5, FALSE)</f>
        <v>96178</v>
      </c>
      <c r="T45">
        <f>VLOOKUP($A45,VRH[[Agency]:[FY25 Revenue Hours]], 4, FALSE)</f>
        <v>11193</v>
      </c>
      <c r="U45">
        <f>VLOOKUP($A45,VRM[[Agency]:[FY25 Revenue Miles]], 4, FALSE)</f>
        <v>171222</v>
      </c>
      <c r="W45" s="455">
        <f t="shared" si="33"/>
        <v>8.5926918609845444</v>
      </c>
      <c r="X45" s="455">
        <f t="shared" si="34"/>
        <v>0.56171520014951348</v>
      </c>
      <c r="Y45" s="456">
        <f t="shared" si="35"/>
        <v>62.393102832127219</v>
      </c>
      <c r="Z45" s="456">
        <f t="shared" si="36"/>
        <v>4.0787165200733551</v>
      </c>
      <c r="AA45" s="456">
        <f t="shared" si="37"/>
        <v>7.261182390983385</v>
      </c>
      <c r="AB45" s="466">
        <f t="shared" si="38"/>
        <v>0</v>
      </c>
      <c r="AC45" s="466">
        <f t="shared" si="39"/>
        <v>0</v>
      </c>
      <c r="AD45" s="466">
        <f t="shared" si="40"/>
        <v>1</v>
      </c>
      <c r="AE45" s="466">
        <f t="shared" si="41"/>
        <v>0</v>
      </c>
      <c r="AF45" s="466">
        <f t="shared" si="42"/>
        <v>1</v>
      </c>
      <c r="AG45" s="506">
        <f t="shared" si="43"/>
        <v>2</v>
      </c>
      <c r="AH45" s="452">
        <f t="shared" si="44"/>
        <v>5.7552189423200867E-2</v>
      </c>
      <c r="AI45" s="502">
        <f t="shared" si="45"/>
        <v>6.3448831913197168E-2</v>
      </c>
      <c r="AJ45" s="457">
        <f t="shared" si="46"/>
        <v>28964.543571526454</v>
      </c>
      <c r="AK45" s="980"/>
      <c r="AL45" s="912">
        <f t="shared" si="47"/>
        <v>238474.34357152643</v>
      </c>
      <c r="AM45" s="918">
        <f>VLOOKUP(A45,'Allocation Calculations_FY26'!$B$12:$CH$49, 85, FALSE)</f>
        <v>196084.59305415963</v>
      </c>
      <c r="AN45" s="501">
        <f t="shared" si="48"/>
        <v>42389.750517366803</v>
      </c>
      <c r="AO45" s="502">
        <f t="shared" si="49"/>
        <v>0.21618093424432649</v>
      </c>
      <c r="AP45" s="938">
        <f t="shared" si="50"/>
        <v>-2.4854553473238006E-2</v>
      </c>
    </row>
    <row r="46" spans="1:42" ht="14.25" hidden="1">
      <c r="A46" s="521" t="s">
        <v>54</v>
      </c>
      <c r="B46" s="351">
        <f>VLOOKUP($A46, 'Allocation Calculations_FY26'!$B$12:$D$49, 3, FALSE)</f>
        <v>165710</v>
      </c>
      <c r="C46" s="352">
        <f>VLOOKUP($A46, OpCost[], 11, FALSE)</f>
        <v>150265.66666666666</v>
      </c>
      <c r="D46" s="353">
        <f>VLOOKUP($A46, Ridership[], 11, FALSE)</f>
        <v>14831.333333333334</v>
      </c>
      <c r="E46" s="353">
        <f>VLOOKUP($A46, VRHsizing[], 11, FALSE)</f>
        <v>3025</v>
      </c>
      <c r="F46" s="353">
        <f>VLOOKUP($A46, VRMsizing[], 11, FALSE)</f>
        <v>49379</v>
      </c>
      <c r="G46" s="354">
        <f t="shared" si="29"/>
        <v>6.0942883956302749E-3</v>
      </c>
      <c r="H46" s="354">
        <f t="shared" si="30"/>
        <v>6.0259885823099237E-3</v>
      </c>
      <c r="I46" s="355">
        <f t="shared" si="31"/>
        <v>6.0942883956302749E-3</v>
      </c>
      <c r="J46" s="356">
        <f>MIN(0.3*Rural!B46,Rural!I46*Assumptions!$E$20)</f>
        <v>49713</v>
      </c>
      <c r="K46" s="356"/>
      <c r="L46" s="357">
        <f>I46*Assumptions!$E$20-Rural!J46</f>
        <v>1858.569525092149</v>
      </c>
      <c r="M46" s="322">
        <f t="shared" si="32"/>
        <v>6.0259885823099246E-3</v>
      </c>
      <c r="N46" s="325">
        <f>MIN(0.3*B46,M46*Assumptions!$E$20)</f>
        <v>49713</v>
      </c>
      <c r="O46" s="325"/>
      <c r="P46" s="321">
        <f>M46*Assumptions!$E$20-N46</f>
        <v>1280.5974399957413</v>
      </c>
      <c r="Q46" s="302"/>
      <c r="R46" s="450">
        <f>VLOOKUP($A46,OpCost[[Agency]:[FY25 Operating Cost Performance]], 5, FALSE)</f>
        <v>165710</v>
      </c>
      <c r="S46">
        <f>VLOOKUP($A46,Ridership[[Agency]:[FY25 Ridership]], 5, FALSE)</f>
        <v>15318</v>
      </c>
      <c r="T46">
        <f>VLOOKUP($A46,VRH[[Agency]:[FY25 Revenue Hours]], 4, FALSE)</f>
        <v>3004</v>
      </c>
      <c r="U46">
        <f>VLOOKUP($A46,VRM[[Agency]:[FY25 Revenue Miles]], 4, FALSE)</f>
        <v>48742</v>
      </c>
      <c r="W46" s="455">
        <f t="shared" si="33"/>
        <v>5.099201065246338</v>
      </c>
      <c r="X46" s="455">
        <f t="shared" si="34"/>
        <v>0.31426695662878013</v>
      </c>
      <c r="Y46" s="456">
        <f t="shared" si="35"/>
        <v>55.163115845539281</v>
      </c>
      <c r="Z46" s="456">
        <f t="shared" si="36"/>
        <v>3.3997373928029213</v>
      </c>
      <c r="AA46" s="456">
        <f t="shared" si="37"/>
        <v>10.817991904948427</v>
      </c>
      <c r="AB46" s="466">
        <f t="shared" si="38"/>
        <v>0</v>
      </c>
      <c r="AC46" s="466">
        <f t="shared" si="39"/>
        <v>0</v>
      </c>
      <c r="AD46" s="466">
        <f t="shared" si="40"/>
        <v>1</v>
      </c>
      <c r="AE46" s="466">
        <f t="shared" si="41"/>
        <v>1</v>
      </c>
      <c r="AF46" s="466">
        <f t="shared" si="42"/>
        <v>1</v>
      </c>
      <c r="AG46" s="506">
        <f t="shared" si="43"/>
        <v>3</v>
      </c>
      <c r="AH46" s="452">
        <f t="shared" si="44"/>
        <v>1.8077965746929773E-2</v>
      </c>
      <c r="AI46" s="502">
        <f t="shared" si="45"/>
        <v>1.993018548043431E-2</v>
      </c>
      <c r="AJ46" s="457">
        <f t="shared" si="46"/>
        <v>9098.1773553592138</v>
      </c>
      <c r="AK46" s="980"/>
      <c r="AL46" s="912">
        <f t="shared" si="47"/>
        <v>58811.177355359214</v>
      </c>
      <c r="AM46" s="918">
        <f>VLOOKUP(A46,'Allocation Calculations_FY26'!$B$12:$CH$49, 85, FALSE)</f>
        <v>41490.080005839591</v>
      </c>
      <c r="AN46" s="501">
        <f t="shared" si="48"/>
        <v>17321.097349519623</v>
      </c>
      <c r="AO46" s="502">
        <f t="shared" si="49"/>
        <v>0.4174756314541147</v>
      </c>
      <c r="AP46" s="938">
        <f t="shared" si="50"/>
        <v>-6.8362982265965974E-2</v>
      </c>
    </row>
    <row r="47" spans="1:42" ht="14.25" hidden="1">
      <c r="A47" s="521" t="s">
        <v>34</v>
      </c>
      <c r="B47" s="351">
        <f>VLOOKUP($A47, 'Allocation Calculations_FY26'!$B$12:$D$49, 3, FALSE)</f>
        <v>4067447</v>
      </c>
      <c r="C47" s="352">
        <f>VLOOKUP($A47, OpCost[], 11, FALSE)</f>
        <v>3638489.3333333335</v>
      </c>
      <c r="D47" s="353">
        <f>VLOOKUP($A47, Ridership[], 11, FALSE)</f>
        <v>241163.66666666666</v>
      </c>
      <c r="E47" s="353">
        <f>VLOOKUP($A47, VRHsizing[], 11, FALSE)</f>
        <v>33383.333333333336</v>
      </c>
      <c r="F47" s="353">
        <f>VLOOKUP($A47, VRMsizing[], 11, FALSE)</f>
        <v>522791</v>
      </c>
      <c r="G47" s="354">
        <f t="shared" si="29"/>
        <v>0.10941784430855543</v>
      </c>
      <c r="H47" s="354">
        <f t="shared" si="30"/>
        <v>0.10332869637417404</v>
      </c>
      <c r="I47" s="355">
        <f t="shared" si="31"/>
        <v>0.10941784430855543</v>
      </c>
      <c r="J47" s="356">
        <f>MIN(0.3*Rural!B47,Rural!I47*Assumptions!$E$20)</f>
        <v>925924.3407467244</v>
      </c>
      <c r="K47" s="356"/>
      <c r="L47" s="357">
        <f>I47*Assumptions!$E$20-Rural!J47</f>
        <v>0</v>
      </c>
      <c r="M47" s="322">
        <f t="shared" si="32"/>
        <v>0.10332869637417405</v>
      </c>
      <c r="N47" s="325">
        <f>MIN(0.3*B47,M47*Assumptions!$E$20)</f>
        <v>874396.2712395963</v>
      </c>
      <c r="O47" s="325"/>
      <c r="P47" s="321">
        <f>M47*Assumptions!$E$20-N47</f>
        <v>0</v>
      </c>
      <c r="Q47" s="302"/>
      <c r="R47" s="450">
        <f>VLOOKUP($A47,OpCost[[Agency]:[FY25 Operating Cost Performance]], 5, FALSE)</f>
        <v>4067447</v>
      </c>
      <c r="S47">
        <f>VLOOKUP($A47,Ridership[[Agency]:[FY25 Ridership]], 5, FALSE)</f>
        <v>259346</v>
      </c>
      <c r="T47">
        <f>VLOOKUP($A47,VRH[[Agency]:[FY25 Revenue Hours]], 4, FALSE)</f>
        <v>34940</v>
      </c>
      <c r="U47">
        <f>VLOOKUP($A47,VRM[[Agency]:[FY25 Revenue Miles]], 4, FALSE)</f>
        <v>470807</v>
      </c>
      <c r="W47" s="455">
        <f t="shared" si="33"/>
        <v>7.4226101888952494</v>
      </c>
      <c r="X47" s="455">
        <f t="shared" si="34"/>
        <v>0.55085417166694628</v>
      </c>
      <c r="Y47" s="456">
        <f t="shared" si="35"/>
        <v>116.41233543216943</v>
      </c>
      <c r="Z47" s="456">
        <f t="shared" si="36"/>
        <v>8.6393086763790681</v>
      </c>
      <c r="AA47" s="456">
        <f t="shared" si="37"/>
        <v>15.683476899585882</v>
      </c>
      <c r="AB47" s="466">
        <f t="shared" si="38"/>
        <v>0</v>
      </c>
      <c r="AC47" s="466">
        <f t="shared" si="39"/>
        <v>0</v>
      </c>
      <c r="AD47" s="466">
        <f t="shared" si="40"/>
        <v>0</v>
      </c>
      <c r="AE47" s="466">
        <f t="shared" si="41"/>
        <v>0</v>
      </c>
      <c r="AF47" s="466">
        <f t="shared" si="42"/>
        <v>1</v>
      </c>
      <c r="AG47" s="506">
        <f t="shared" si="43"/>
        <v>1</v>
      </c>
      <c r="AH47" s="452">
        <f t="shared" si="44"/>
        <v>0.10332869637417405</v>
      </c>
      <c r="AI47" s="502">
        <f t="shared" si="45"/>
        <v>0.11391547660933672</v>
      </c>
      <c r="AJ47" s="457">
        <f t="shared" si="46"/>
        <v>52002.687618210475</v>
      </c>
      <c r="AK47" s="980"/>
      <c r="AL47" s="912">
        <f t="shared" si="47"/>
        <v>926398.95885780675</v>
      </c>
      <c r="AM47" s="918">
        <f>VLOOKUP(A47,'Allocation Calculations_FY26'!$B$12:$CH$49, 85, FALSE)</f>
        <v>758875.30657787633</v>
      </c>
      <c r="AN47" s="501">
        <f t="shared" si="48"/>
        <v>167523.65227993042</v>
      </c>
      <c r="AO47" s="502">
        <f t="shared" si="49"/>
        <v>0.22075254106682285</v>
      </c>
      <c r="AP47" s="938">
        <f t="shared" si="50"/>
        <v>-2.583218689706156E-2</v>
      </c>
    </row>
    <row r="48" spans="1:42" ht="14.25" hidden="1">
      <c r="A48" s="521" t="s">
        <v>51</v>
      </c>
      <c r="B48" s="351">
        <f>VLOOKUP($A48, 'Allocation Calculations_FY26'!$B$12:$D$49, 3, FALSE)</f>
        <v>744369</v>
      </c>
      <c r="C48" s="352">
        <f>VLOOKUP($A48, OpCost[], 11, FALSE)</f>
        <v>756310.33333333337</v>
      </c>
      <c r="D48" s="353">
        <f>VLOOKUP($A48, Ridership[], 11, FALSE)</f>
        <v>28396.666666666668</v>
      </c>
      <c r="E48" s="353">
        <f>VLOOKUP($A48, VRHsizing[], 11, FALSE)</f>
        <v>18892.75</v>
      </c>
      <c r="F48" s="353">
        <f>VLOOKUP($A48, VRMsizing[], 11, FALSE)</f>
        <v>226420.66666666666</v>
      </c>
      <c r="G48" s="354">
        <f t="shared" si="29"/>
        <v>2.2557193956882729E-2</v>
      </c>
      <c r="H48" s="354">
        <f t="shared" si="30"/>
        <v>2.3895043651127941E-2</v>
      </c>
      <c r="I48" s="355">
        <f t="shared" si="31"/>
        <v>2.2557193956882729E-2</v>
      </c>
      <c r="J48" s="356">
        <f>MIN(0.3*Rural!B48,Rural!I48*Assumptions!$E$20)</f>
        <v>190885.27173615253</v>
      </c>
      <c r="K48" s="356"/>
      <c r="L48" s="357">
        <f>I48*Assumptions!$E$20-Rural!J48</f>
        <v>0</v>
      </c>
      <c r="M48" s="322">
        <f t="shared" si="32"/>
        <v>2.3895043651127944E-2</v>
      </c>
      <c r="N48" s="325">
        <f>MIN(0.3*B48,M48*Assumptions!$E$20)</f>
        <v>202206.52928779076</v>
      </c>
      <c r="O48" s="325"/>
      <c r="P48" s="321">
        <f>M48*Assumptions!$E$20-N48</f>
        <v>0</v>
      </c>
      <c r="Q48" s="302"/>
      <c r="R48" s="450">
        <f>VLOOKUP($A48,OpCost[[Agency]:[FY25 Operating Cost Performance]], 5, FALSE)</f>
        <v>744369</v>
      </c>
      <c r="S48">
        <f>VLOOKUP($A48,Ridership[[Agency]:[FY25 Ridership]], 5, FALSE)</f>
        <v>28456</v>
      </c>
      <c r="T48">
        <f>VLOOKUP($A48,VRH[[Agency]:[FY25 Revenue Hours]], 4, FALSE)</f>
        <v>18710.25</v>
      </c>
      <c r="U48">
        <f>VLOOKUP($A48,VRM[[Agency]:[FY25 Revenue Miles]], 4, FALSE)</f>
        <v>227896</v>
      </c>
      <c r="W48" s="455">
        <f t="shared" si="33"/>
        <v>1.5208775938322576</v>
      </c>
      <c r="X48" s="455">
        <f t="shared" si="34"/>
        <v>0.12486397304033418</v>
      </c>
      <c r="Y48" s="456">
        <f t="shared" si="35"/>
        <v>39.784022126909051</v>
      </c>
      <c r="Z48" s="456">
        <f t="shared" si="36"/>
        <v>3.2662661915961668</v>
      </c>
      <c r="AA48" s="456">
        <f t="shared" si="37"/>
        <v>26.158595726736014</v>
      </c>
      <c r="AB48" s="466">
        <f t="shared" si="38"/>
        <v>0</v>
      </c>
      <c r="AC48" s="466">
        <f t="shared" si="39"/>
        <v>0</v>
      </c>
      <c r="AD48" s="466">
        <f t="shared" si="40"/>
        <v>1</v>
      </c>
      <c r="AE48" s="466">
        <f t="shared" si="41"/>
        <v>1</v>
      </c>
      <c r="AF48" s="466">
        <f t="shared" si="42"/>
        <v>0</v>
      </c>
      <c r="AG48" s="506">
        <f t="shared" si="43"/>
        <v>2</v>
      </c>
      <c r="AH48" s="452">
        <f t="shared" si="44"/>
        <v>4.7790087302255889E-2</v>
      </c>
      <c r="AI48" s="502">
        <f t="shared" si="45"/>
        <v>5.2686531072881806E-2</v>
      </c>
      <c r="AJ48" s="457">
        <f t="shared" si="46"/>
        <v>24051.527488808748</v>
      </c>
      <c r="AK48" s="980"/>
      <c r="AL48" s="912">
        <f t="shared" si="47"/>
        <v>226258.05677659952</v>
      </c>
      <c r="AM48" s="918">
        <f>VLOOKUP(A48,'Allocation Calculations_FY26'!$B$12:$CH$49, 85, FALSE)</f>
        <v>182624.43473776325</v>
      </c>
      <c r="AN48" s="501">
        <f t="shared" si="48"/>
        <v>43633.622038836271</v>
      </c>
      <c r="AO48" s="502">
        <f t="shared" si="49"/>
        <v>0.23892543241265221</v>
      </c>
      <c r="AP48" s="938">
        <f t="shared" si="50"/>
        <v>-9.3907164494751463E-2</v>
      </c>
    </row>
    <row r="49" spans="1:42" ht="14.25" hidden="1">
      <c r="A49" s="521" t="s">
        <v>23</v>
      </c>
      <c r="B49" s="351">
        <f>VLOOKUP($A49, 'Allocation Calculations_FY26'!$B$12:$D$49, 3, FALSE)</f>
        <v>2553471</v>
      </c>
      <c r="C49" s="352">
        <f>VLOOKUP($A49, OpCost[], 11, FALSE)</f>
        <v>2452965</v>
      </c>
      <c r="D49" s="353">
        <f>VLOOKUP($A49, Ridership[], 11, FALSE)</f>
        <v>114607.66666666667</v>
      </c>
      <c r="E49" s="353">
        <f>VLOOKUP($A49, VRHsizing[], 11, FALSE)</f>
        <v>31767.666666666668</v>
      </c>
      <c r="F49" s="353">
        <f>VLOOKUP($A49, VRMsizing[], 11, FALSE)</f>
        <v>659016</v>
      </c>
      <c r="G49" s="354">
        <f t="shared" si="29"/>
        <v>7.0378187331509509E-2</v>
      </c>
      <c r="H49" s="354">
        <f t="shared" si="30"/>
        <v>7.0532954068829048E-2</v>
      </c>
      <c r="I49" s="355">
        <f t="shared" si="31"/>
        <v>7.0378187331509509E-2</v>
      </c>
      <c r="J49" s="356">
        <f>MIN(0.3*Rural!B49,Rural!I49*Assumptions!$E$20)</f>
        <v>595559.86612306291</v>
      </c>
      <c r="K49" s="356"/>
      <c r="L49" s="357">
        <f>I49*Assumptions!$E$20-Rural!J49</f>
        <v>0</v>
      </c>
      <c r="M49" s="322">
        <f t="shared" si="32"/>
        <v>7.0532954068829062E-2</v>
      </c>
      <c r="N49" s="325">
        <f>MIN(0.3*B49,M49*Assumptions!$E$20)</f>
        <v>596869.545454873</v>
      </c>
      <c r="O49" s="325"/>
      <c r="P49" s="321">
        <f>M49*Assumptions!$E$20-N49</f>
        <v>0</v>
      </c>
      <c r="Q49" s="302"/>
      <c r="R49" s="450">
        <f>VLOOKUP($A49,OpCost[[Agency]:[FY25 Operating Cost Performance]], 5, FALSE)</f>
        <v>2553471</v>
      </c>
      <c r="S49">
        <f>VLOOKUP($A49,Ridership[[Agency]:[FY25 Ridership]], 5, FALSE)</f>
        <v>124617</v>
      </c>
      <c r="T49">
        <f>VLOOKUP($A49,VRH[[Agency]:[FY25 Revenue Hours]], 4, FALSE)</f>
        <v>31601</v>
      </c>
      <c r="U49">
        <f>VLOOKUP($A49,VRM[[Agency]:[FY25 Revenue Miles]], 4, FALSE)</f>
        <v>692104</v>
      </c>
      <c r="W49" s="455">
        <f t="shared" si="33"/>
        <v>3.9434511566089681</v>
      </c>
      <c r="X49" s="455">
        <f t="shared" si="34"/>
        <v>0.1800553096066487</v>
      </c>
      <c r="Y49" s="456">
        <f t="shared" si="35"/>
        <v>80.803487231416725</v>
      </c>
      <c r="Z49" s="456">
        <f t="shared" si="36"/>
        <v>3.6894325130327235</v>
      </c>
      <c r="AA49" s="456">
        <f t="shared" si="37"/>
        <v>20.490551048412335</v>
      </c>
      <c r="AB49" s="466">
        <f t="shared" si="38"/>
        <v>0</v>
      </c>
      <c r="AC49" s="466">
        <f t="shared" si="39"/>
        <v>0</v>
      </c>
      <c r="AD49" s="466">
        <f t="shared" si="40"/>
        <v>0</v>
      </c>
      <c r="AE49" s="466">
        <f t="shared" si="41"/>
        <v>1</v>
      </c>
      <c r="AF49" s="466">
        <f t="shared" si="42"/>
        <v>0</v>
      </c>
      <c r="AG49" s="506">
        <f t="shared" si="43"/>
        <v>1</v>
      </c>
      <c r="AH49" s="452">
        <f t="shared" si="44"/>
        <v>7.0532954068829062E-2</v>
      </c>
      <c r="AI49" s="502">
        <f t="shared" si="45"/>
        <v>7.7759570780991036E-2</v>
      </c>
      <c r="AJ49" s="457">
        <f t="shared" si="46"/>
        <v>35497.43010352795</v>
      </c>
      <c r="AK49" s="980"/>
      <c r="AL49" s="912">
        <f t="shared" si="47"/>
        <v>632366.97555840097</v>
      </c>
      <c r="AM49" s="918">
        <f>VLOOKUP(A49,'Allocation Calculations_FY26'!$B$12:$CH$49, 85, FALSE)</f>
        <v>554807.21070635587</v>
      </c>
      <c r="AN49" s="501">
        <f t="shared" si="48"/>
        <v>77559.764852045104</v>
      </c>
      <c r="AO49" s="502">
        <f t="shared" si="49"/>
        <v>0.1397958846881234</v>
      </c>
      <c r="AP49" s="938">
        <f t="shared" si="50"/>
        <v>4.921758496237328E-2</v>
      </c>
    </row>
    <row r="50" spans="1:42" ht="14.25" hidden="1">
      <c r="A50" s="521" t="s">
        <v>45</v>
      </c>
      <c r="B50" s="351">
        <f>VLOOKUP($A50, 'Allocation Calculations_FY26'!$B$12:$D$49, 3, FALSE)</f>
        <v>2083701</v>
      </c>
      <c r="C50" s="352">
        <f>VLOOKUP($A50, OpCost[], 11, FALSE)</f>
        <v>2158333.3333333335</v>
      </c>
      <c r="D50" s="353">
        <f>VLOOKUP($A50, Ridership[], 11, FALSE)</f>
        <v>121099</v>
      </c>
      <c r="E50" s="353">
        <f>VLOOKUP($A50, VRHsizing[], 11, FALSE)</f>
        <v>43839.666666666664</v>
      </c>
      <c r="F50" s="353">
        <f>VLOOKUP($A50, VRMsizing[], 11, FALSE)</f>
        <v>728479.33333333337</v>
      </c>
      <c r="G50" s="354">
        <f t="shared" si="29"/>
        <v>7.0730792745602025E-2</v>
      </c>
      <c r="H50" s="354">
        <f t="shared" si="30"/>
        <v>7.2756043044594029E-2</v>
      </c>
      <c r="I50" s="355">
        <f t="shared" si="31"/>
        <v>7.0730792745602025E-2</v>
      </c>
      <c r="J50" s="356">
        <f>MIN(0.3*Rural!B50,Rural!I50*Assumptions!$E$20)</f>
        <v>598543.71156116761</v>
      </c>
      <c r="K50" s="356"/>
      <c r="L50" s="357">
        <f>I50*Assumptions!$E$20-Rural!J50</f>
        <v>0</v>
      </c>
      <c r="M50" s="322">
        <f t="shared" si="32"/>
        <v>7.2756043044594043E-2</v>
      </c>
      <c r="N50" s="325">
        <f>MIN(0.3*B50,M50*Assumptions!$E$20)</f>
        <v>615681.94490684744</v>
      </c>
      <c r="O50" s="325"/>
      <c r="P50" s="321">
        <f>M50*Assumptions!$E$20-N50</f>
        <v>0</v>
      </c>
      <c r="Q50" s="302"/>
      <c r="R50" s="450">
        <f>VLOOKUP($A50,OpCost[[Agency]:[FY25 Operating Cost Performance]], 5, FALSE)</f>
        <v>2155919</v>
      </c>
      <c r="S50">
        <f>VLOOKUP($A50,Ridership[[Agency]:[FY25 Ridership]], 5, FALSE)</f>
        <v>130896</v>
      </c>
      <c r="T50">
        <f>VLOOKUP($A50,VRH[[Agency]:[FY25 Revenue Hours]], 4, FALSE)</f>
        <v>44163</v>
      </c>
      <c r="U50">
        <f>VLOOKUP($A50,VRM[[Agency]:[FY25 Revenue Miles]], 4, FALSE)</f>
        <v>800372</v>
      </c>
      <c r="W50" s="455">
        <f t="shared" si="33"/>
        <v>2.9639290809048298</v>
      </c>
      <c r="X50" s="455">
        <f t="shared" si="34"/>
        <v>0.16354395206229103</v>
      </c>
      <c r="Y50" s="456">
        <f t="shared" si="35"/>
        <v>48.817313135430112</v>
      </c>
      <c r="Z50" s="456">
        <f t="shared" si="36"/>
        <v>2.6936462045149008</v>
      </c>
      <c r="AA50" s="456">
        <f t="shared" si="37"/>
        <v>16.470472741718616</v>
      </c>
      <c r="AB50" s="466">
        <f t="shared" si="38"/>
        <v>0</v>
      </c>
      <c r="AC50" s="466">
        <f t="shared" si="39"/>
        <v>0</v>
      </c>
      <c r="AD50" s="466">
        <f t="shared" si="40"/>
        <v>1</v>
      </c>
      <c r="AE50" s="466">
        <f t="shared" si="41"/>
        <v>1</v>
      </c>
      <c r="AF50" s="466">
        <f t="shared" si="42"/>
        <v>1</v>
      </c>
      <c r="AG50" s="506">
        <f t="shared" si="43"/>
        <v>3</v>
      </c>
      <c r="AH50" s="452">
        <f t="shared" si="44"/>
        <v>0.21826812913378213</v>
      </c>
      <c r="AI50" s="502">
        <f t="shared" si="45"/>
        <v>0.24063129441665515</v>
      </c>
      <c r="AJ50" s="457">
        <f t="shared" si="46"/>
        <v>109848.76161848342</v>
      </c>
      <c r="AK50" s="980"/>
      <c r="AL50" s="912">
        <f t="shared" si="47"/>
        <v>725530.7065253309</v>
      </c>
      <c r="AM50" s="918">
        <f>VLOOKUP(A50,'Allocation Calculations_FY26'!$B$12:$CH$49, 85, FALSE)</f>
        <v>632074.60517037171</v>
      </c>
      <c r="AN50" s="501">
        <f t="shared" si="48"/>
        <v>93456.101354959188</v>
      </c>
      <c r="AO50" s="502">
        <f t="shared" si="49"/>
        <v>0.14785612424623307</v>
      </c>
      <c r="AP50" s="938">
        <f t="shared" si="50"/>
        <v>4.0968899475415689E-2</v>
      </c>
    </row>
    <row r="51" spans="1:42" ht="14.25" hidden="1">
      <c r="A51" s="521" t="s">
        <v>58</v>
      </c>
      <c r="B51" s="351">
        <f>VLOOKUP($A51, 'Allocation Calculations_FY26'!$B$12:$D$49, 3, FALSE)</f>
        <v>447645</v>
      </c>
      <c r="C51" s="352">
        <f>VLOOKUP($A51, OpCost[], 11, FALSE)</f>
        <v>459924.66666666669</v>
      </c>
      <c r="D51" s="353">
        <f>VLOOKUP($A51, Ridership[], 11, FALSE)</f>
        <v>31178</v>
      </c>
      <c r="E51" s="353">
        <f>VLOOKUP($A51, VRHsizing[], 11, FALSE)</f>
        <v>8105.666666666667</v>
      </c>
      <c r="F51" s="353">
        <f>VLOOKUP($A51, VRMsizing[], 11, FALSE)</f>
        <v>129797.66666666667</v>
      </c>
      <c r="G51" s="354">
        <f t="shared" si="29"/>
        <v>1.5516061881329309E-2</v>
      </c>
      <c r="H51" s="354">
        <f t="shared" si="30"/>
        <v>1.550281282853453E-2</v>
      </c>
      <c r="I51" s="355">
        <f t="shared" si="31"/>
        <v>1.5516061881329309E-2</v>
      </c>
      <c r="J51" s="356">
        <f>MIN(0.3*Rural!B51,Rural!I51*Assumptions!$E$20)</f>
        <v>131301.24669557103</v>
      </c>
      <c r="K51" s="356"/>
      <c r="L51" s="357">
        <f>I51*Assumptions!$E$20-Rural!J51</f>
        <v>0</v>
      </c>
      <c r="M51" s="322">
        <f t="shared" si="32"/>
        <v>1.5502812828534532E-2</v>
      </c>
      <c r="N51" s="325">
        <f>MIN(0.3*B51,M51*Assumptions!$E$20)</f>
        <v>131189.12951256451</v>
      </c>
      <c r="O51" s="325"/>
      <c r="P51" s="321">
        <f>M51*Assumptions!$E$20-N51</f>
        <v>0</v>
      </c>
      <c r="Q51" s="302"/>
      <c r="R51" s="450">
        <f>VLOOKUP($A51,OpCost[[Agency]:[FY25 Operating Cost Performance]], 5, FALSE)</f>
        <v>447645</v>
      </c>
      <c r="S51">
        <f>VLOOKUP($A51,Ridership[[Agency]:[FY25 Ridership]], 5, FALSE)</f>
        <v>33235</v>
      </c>
      <c r="T51">
        <f>VLOOKUP($A51,VRH[[Agency]:[FY25 Revenue Hours]], 4, FALSE)</f>
        <v>8168</v>
      </c>
      <c r="U51">
        <f>VLOOKUP($A51,VRM[[Agency]:[FY25 Revenue Miles]], 4, FALSE)</f>
        <v>132943</v>
      </c>
      <c r="W51" s="455">
        <f t="shared" si="33"/>
        <v>4.0689275220372183</v>
      </c>
      <c r="X51" s="455">
        <f t="shared" si="34"/>
        <v>0.24999435848446327</v>
      </c>
      <c r="Y51" s="456">
        <f t="shared" si="35"/>
        <v>54.804725759059743</v>
      </c>
      <c r="Z51" s="456">
        <f t="shared" si="36"/>
        <v>3.3671949632549287</v>
      </c>
      <c r="AA51" s="456">
        <f t="shared" si="37"/>
        <v>13.469083797201746</v>
      </c>
      <c r="AB51" s="466">
        <f t="shared" si="38"/>
        <v>0</v>
      </c>
      <c r="AC51" s="466">
        <f t="shared" si="39"/>
        <v>0</v>
      </c>
      <c r="AD51" s="466">
        <f t="shared" si="40"/>
        <v>1</v>
      </c>
      <c r="AE51" s="466">
        <f t="shared" si="41"/>
        <v>1</v>
      </c>
      <c r="AF51" s="466">
        <f t="shared" si="42"/>
        <v>1</v>
      </c>
      <c r="AG51" s="506">
        <f t="shared" si="43"/>
        <v>3</v>
      </c>
      <c r="AH51" s="452">
        <f t="shared" si="44"/>
        <v>4.6508438485603598E-2</v>
      </c>
      <c r="AI51" s="502">
        <f t="shared" si="45"/>
        <v>5.1273567966620942E-2</v>
      </c>
      <c r="AJ51" s="457">
        <f t="shared" si="46"/>
        <v>23406.506450245866</v>
      </c>
      <c r="AK51" s="980"/>
      <c r="AL51" s="912">
        <f t="shared" si="47"/>
        <v>154595.63596281037</v>
      </c>
      <c r="AM51" s="918">
        <f>VLOOKUP(A51,'Allocation Calculations_FY26'!$B$12:$CH$49, 85, FALSE)</f>
        <v>108639.62416606396</v>
      </c>
      <c r="AN51" s="501">
        <f t="shared" si="48"/>
        <v>45956.011796746403</v>
      </c>
      <c r="AO51" s="502">
        <f t="shared" si="49"/>
        <v>0.42301335400883872</v>
      </c>
      <c r="AP51" s="938">
        <f t="shared" si="50"/>
        <v>-4.5712025369902043E-2</v>
      </c>
    </row>
    <row r="52" spans="1:42" ht="14.25" hidden="1">
      <c r="A52" s="521" t="s">
        <v>52</v>
      </c>
      <c r="B52" s="351">
        <v>1214573</v>
      </c>
      <c r="C52" s="352">
        <f>VLOOKUP($A52, OpCost[], 11, FALSE)</f>
        <v>1336999.6666666667</v>
      </c>
      <c r="D52" s="353">
        <f>VLOOKUP($A52, Ridership[], 11, FALSE)</f>
        <v>57811</v>
      </c>
      <c r="E52" s="353">
        <f>VLOOKUP($A52, VRHsizing[], 11, FALSE)</f>
        <v>18277</v>
      </c>
      <c r="F52" s="353">
        <f>VLOOKUP($A52, VRMsizing[], 11, FALSE)</f>
        <v>311636.33333333331</v>
      </c>
      <c r="G52" s="354">
        <f t="shared" si="29"/>
        <v>3.7127374804915451E-2</v>
      </c>
      <c r="H52" s="354">
        <f t="shared" si="30"/>
        <v>3.7173298894511063E-2</v>
      </c>
      <c r="I52" s="355">
        <f t="shared" si="31"/>
        <v>3.7127374804915451E-2</v>
      </c>
      <c r="J52" s="356">
        <f>MIN(0.3*Rural!B52,Rural!I52*Assumptions!$E$20)</f>
        <v>314182.20910069527</v>
      </c>
      <c r="K52" s="356"/>
      <c r="L52" s="357">
        <f>I52*Assumptions!$E$20-Rural!J52</f>
        <v>0</v>
      </c>
      <c r="M52" s="322">
        <f t="shared" si="32"/>
        <v>3.717329889451107E-2</v>
      </c>
      <c r="N52" s="325">
        <f>MIN(0.3*B52,M52*Assumptions!$E$20)</f>
        <v>314570.83156581444</v>
      </c>
      <c r="O52" s="325"/>
      <c r="P52" s="321">
        <f>M52*Assumptions!$E$20-N52</f>
        <v>0</v>
      </c>
      <c r="Q52" s="302"/>
      <c r="R52" s="450">
        <f>VLOOKUP($A52,OpCost[[Agency]:[FY25 Operating Cost Performance]], 5, FALSE)</f>
        <v>1220651</v>
      </c>
      <c r="S52">
        <f>VLOOKUP($A52,Ridership[[Agency]:[FY25 Ridership]], 5, FALSE)</f>
        <v>62326</v>
      </c>
      <c r="T52">
        <f>VLOOKUP($A52,VRH[[Agency]:[FY25 Revenue Hours]], 4, FALSE)</f>
        <v>18443</v>
      </c>
      <c r="U52">
        <f>VLOOKUP($A52,VRM[[Agency]:[FY25 Revenue Miles]], 4, FALSE)</f>
        <v>313578</v>
      </c>
      <c r="W52" s="455">
        <f t="shared" si="33"/>
        <v>3.379385132570623</v>
      </c>
      <c r="X52" s="455">
        <f t="shared" si="34"/>
        <v>0.19875756590066906</v>
      </c>
      <c r="Y52" s="456">
        <f t="shared" si="35"/>
        <v>66.185056661063825</v>
      </c>
      <c r="Z52" s="456">
        <f t="shared" si="36"/>
        <v>3.8926550969774665</v>
      </c>
      <c r="AA52" s="456">
        <f t="shared" si="37"/>
        <v>19.584940474280398</v>
      </c>
      <c r="AB52" s="466">
        <f t="shared" si="38"/>
        <v>0</v>
      </c>
      <c r="AC52" s="466">
        <f t="shared" si="39"/>
        <v>0</v>
      </c>
      <c r="AD52" s="466">
        <f t="shared" si="40"/>
        <v>0</v>
      </c>
      <c r="AE52" s="466">
        <f t="shared" si="41"/>
        <v>1</v>
      </c>
      <c r="AF52" s="466">
        <f t="shared" si="42"/>
        <v>0</v>
      </c>
      <c r="AG52" s="506">
        <f t="shared" si="43"/>
        <v>1</v>
      </c>
      <c r="AH52" s="452">
        <f t="shared" si="44"/>
        <v>3.717329889451107E-2</v>
      </c>
      <c r="AI52" s="502">
        <f t="shared" si="45"/>
        <v>4.0981975088267508E-2</v>
      </c>
      <c r="AJ52" s="457">
        <f t="shared" si="46"/>
        <v>18708.369678346095</v>
      </c>
      <c r="AK52" s="980"/>
      <c r="AL52" s="912">
        <f t="shared" si="47"/>
        <v>333279.20124416053</v>
      </c>
      <c r="AM52" s="918">
        <v>290338.54631371854</v>
      </c>
      <c r="AN52" s="501">
        <f t="shared" si="48"/>
        <v>42940.65493044199</v>
      </c>
      <c r="AO52" s="502">
        <f t="shared" si="49"/>
        <v>0.1478985669510223</v>
      </c>
      <c r="AP52" s="938">
        <f t="shared" si="50"/>
        <v>-2.0928681519273636E-2</v>
      </c>
    </row>
    <row r="53" spans="1:42" ht="14.25" hidden="1">
      <c r="A53" s="521" t="s">
        <v>53</v>
      </c>
      <c r="B53" s="351">
        <f>VLOOKUP($A53, 'Allocation Calculations_FY26'!$B$12:$D$49, 3, FALSE)</f>
        <v>1304126</v>
      </c>
      <c r="C53" s="352">
        <f>VLOOKUP($A53, OpCost[], 11, FALSE)</f>
        <v>1265178.6666666667</v>
      </c>
      <c r="D53" s="353">
        <f>VLOOKUP($A53, Ridership[], 11, FALSE)</f>
        <v>85780.333333333328</v>
      </c>
      <c r="E53" s="353">
        <f>VLOOKUP($A53, VRHsizing[], 11, FALSE)</f>
        <v>20241.333333333332</v>
      </c>
      <c r="F53" s="353">
        <f>VLOOKUP($A53, VRMsizing[], 11, FALSE)</f>
        <v>507721.33333333331</v>
      </c>
      <c r="G53" s="354">
        <f t="shared" si="29"/>
        <v>4.4047804288383563E-2</v>
      </c>
      <c r="H53" s="354">
        <f t="shared" si="30"/>
        <v>4.4692345572835065E-2</v>
      </c>
      <c r="I53" s="355">
        <f t="shared" si="31"/>
        <v>4.4047804288383563E-2</v>
      </c>
      <c r="J53" s="356">
        <f>MIN(0.3*Rural!B53,Rural!I53*Assumptions!$E$20)</f>
        <v>372744.81511488976</v>
      </c>
      <c r="K53" s="356"/>
      <c r="L53" s="357">
        <f>I53*Assumptions!$E$20-Rural!J53</f>
        <v>0</v>
      </c>
      <c r="M53" s="322">
        <f t="shared" si="32"/>
        <v>4.4692345572835072E-2</v>
      </c>
      <c r="N53" s="325">
        <f>MIN(0.3*B53,M53*Assumptions!$E$20)</f>
        <v>378199.10337711195</v>
      </c>
      <c r="O53" s="325"/>
      <c r="P53" s="321">
        <f>M53*Assumptions!$E$20-N53</f>
        <v>0</v>
      </c>
      <c r="Q53" s="302"/>
      <c r="R53" s="450">
        <f>VLOOKUP($A53,OpCost[[Agency]:[FY25 Operating Cost Performance]], 5, FALSE)</f>
        <v>1347743</v>
      </c>
      <c r="S53">
        <f>VLOOKUP($A53,Ridership[[Agency]:[FY25 Ridership]], 5, FALSE)</f>
        <v>101901</v>
      </c>
      <c r="T53">
        <f>VLOOKUP($A53,VRH[[Agency]:[FY25 Revenue Hours]], 4, FALSE)</f>
        <v>20119</v>
      </c>
      <c r="U53">
        <f>VLOOKUP($A53,VRM[[Agency]:[FY25 Revenue Miles]], 4, FALSE)</f>
        <v>510877</v>
      </c>
      <c r="W53" s="455">
        <f t="shared" si="33"/>
        <v>5.0649137631094989</v>
      </c>
      <c r="X53" s="455">
        <f t="shared" si="34"/>
        <v>0.19946288441249069</v>
      </c>
      <c r="Y53" s="456">
        <f t="shared" si="35"/>
        <v>66.988568020279331</v>
      </c>
      <c r="Z53" s="456">
        <f t="shared" si="36"/>
        <v>2.638096841314054</v>
      </c>
      <c r="AA53" s="456">
        <f t="shared" si="37"/>
        <v>13.226003670228948</v>
      </c>
      <c r="AB53" s="466">
        <f t="shared" si="38"/>
        <v>0</v>
      </c>
      <c r="AC53" s="466">
        <f t="shared" si="39"/>
        <v>0</v>
      </c>
      <c r="AD53" s="466">
        <f t="shared" si="40"/>
        <v>0</v>
      </c>
      <c r="AE53" s="466">
        <f t="shared" si="41"/>
        <v>1</v>
      </c>
      <c r="AF53" s="466">
        <f t="shared" si="42"/>
        <v>1</v>
      </c>
      <c r="AG53" s="506">
        <f t="shared" si="43"/>
        <v>2</v>
      </c>
      <c r="AH53" s="452">
        <f t="shared" si="44"/>
        <v>8.9384691145670145E-2</v>
      </c>
      <c r="AI53" s="502">
        <f t="shared" si="45"/>
        <v>9.85428061200464E-2</v>
      </c>
      <c r="AJ53" s="457">
        <f t="shared" si="46"/>
        <v>44985.026760293957</v>
      </c>
      <c r="AK53" s="980"/>
      <c r="AL53" s="912">
        <f t="shared" si="47"/>
        <v>423184.13013740594</v>
      </c>
      <c r="AM53" s="918">
        <f>VLOOKUP(A53,'Allocation Calculations_FY26'!$B$12:$CH$49, 85, FALSE)</f>
        <v>379221.9031059001</v>
      </c>
      <c r="AN53" s="501">
        <f t="shared" si="48"/>
        <v>43962.227031505841</v>
      </c>
      <c r="AO53" s="502">
        <f t="shared" si="49"/>
        <v>0.11592744688913476</v>
      </c>
      <c r="AP53" s="938">
        <f t="shared" si="50"/>
        <v>1.2383475628274885E-2</v>
      </c>
    </row>
    <row r="54" spans="1:42" ht="14.25" hidden="1">
      <c r="A54" s="521" t="s">
        <v>60</v>
      </c>
      <c r="B54" s="351">
        <v>4861903</v>
      </c>
      <c r="C54" s="352">
        <f>VLOOKUP($A54, OpCost[], 11, FALSE)</f>
        <v>4525815.666666667</v>
      </c>
      <c r="D54" s="353">
        <f>VLOOKUP($A54, Ridership[], 11, FALSE)</f>
        <v>182943.66666666666</v>
      </c>
      <c r="E54" s="353">
        <f>VLOOKUP($A54, VRHsizing[], 11, FALSE)</f>
        <v>62447.35</v>
      </c>
      <c r="F54" s="353">
        <f>VLOOKUP($A54, VRMsizing[], 11, FALSE)</f>
        <v>971820.33333333337</v>
      </c>
      <c r="G54" s="354">
        <f t="shared" si="29"/>
        <v>0.12243893482645725</v>
      </c>
      <c r="H54" s="354">
        <f t="shared" si="30"/>
        <v>0.12255699269425979</v>
      </c>
      <c r="I54" s="355">
        <f t="shared" si="31"/>
        <v>0.12243893482645725</v>
      </c>
      <c r="J54" s="356">
        <f>MIN(0.3*Rural!B54,Rural!I54*Assumptions!$E$20)</f>
        <v>1036112.4433343839</v>
      </c>
      <c r="K54" s="356"/>
      <c r="L54" s="357">
        <f>I54*Assumptions!$E$20-Rural!J54</f>
        <v>0</v>
      </c>
      <c r="M54" s="322">
        <f t="shared" si="32"/>
        <v>0.12255699269425981</v>
      </c>
      <c r="N54" s="325">
        <f>MIN(0.3*B54,M54*Assumptions!$E$20)</f>
        <v>1037111.4819656586</v>
      </c>
      <c r="O54" s="325"/>
      <c r="P54" s="321">
        <f>M54*Assumptions!$E$20-N54</f>
        <v>0</v>
      </c>
      <c r="Q54" s="302"/>
      <c r="R54" s="450">
        <f>VLOOKUP($A54,OpCost[[Agency]:[FY25 Operating Cost Performance]], 5, FALSE)</f>
        <v>4896193</v>
      </c>
      <c r="S54">
        <f>VLOOKUP($A54,Ridership[[Agency]:[FY25 Ridership]], 5, FALSE)</f>
        <v>192152</v>
      </c>
      <c r="T54">
        <f>VLOOKUP($A54,VRH[[Agency]:[FY25 Revenue Hours]], 4, FALSE)</f>
        <v>63064.05</v>
      </c>
      <c r="U54">
        <f>VLOOKUP($A54,VRM[[Agency]:[FY25 Revenue Miles]], 4, FALSE)</f>
        <v>994681</v>
      </c>
      <c r="W54" s="455">
        <f t="shared" si="33"/>
        <v>3.0469340297681482</v>
      </c>
      <c r="X54" s="455">
        <f t="shared" si="34"/>
        <v>0.19317952187686305</v>
      </c>
      <c r="Y54" s="456">
        <f t="shared" si="35"/>
        <v>77.638416815919683</v>
      </c>
      <c r="Z54" s="456">
        <f t="shared" si="36"/>
        <v>4.9223751132272557</v>
      </c>
      <c r="AA54" s="456">
        <f t="shared" si="37"/>
        <v>25.48083288230151</v>
      </c>
      <c r="AB54" s="466">
        <f t="shared" si="38"/>
        <v>0</v>
      </c>
      <c r="AC54" s="466">
        <f t="shared" si="39"/>
        <v>0</v>
      </c>
      <c r="AD54" s="466">
        <f t="shared" si="40"/>
        <v>0</v>
      </c>
      <c r="AE54" s="466">
        <f t="shared" si="41"/>
        <v>0</v>
      </c>
      <c r="AF54" s="466">
        <f t="shared" si="42"/>
        <v>0</v>
      </c>
      <c r="AG54" s="506">
        <f t="shared" si="43"/>
        <v>0</v>
      </c>
      <c r="AH54" s="452">
        <f t="shared" si="44"/>
        <v>0</v>
      </c>
      <c r="AI54" s="502">
        <f t="shared" si="45"/>
        <v>0</v>
      </c>
      <c r="AJ54" s="457">
        <f t="shared" si="46"/>
        <v>0</v>
      </c>
      <c r="AK54" s="980"/>
      <c r="AL54" s="912">
        <f t="shared" si="47"/>
        <v>1037111.4819656586</v>
      </c>
      <c r="AM54" s="918">
        <v>967112.97171513084</v>
      </c>
      <c r="AN54" s="501">
        <f t="shared" si="48"/>
        <v>69998.510250527761</v>
      </c>
      <c r="AO54" s="502">
        <f t="shared" si="49"/>
        <v>7.2378835045908432E-2</v>
      </c>
      <c r="AP54" s="938">
        <f t="shared" si="50"/>
        <v>7.0124198043535532E-3</v>
      </c>
    </row>
    <row r="55" spans="1:42" ht="14.25" hidden="1">
      <c r="A55" s="521" t="s">
        <v>43</v>
      </c>
      <c r="B55" s="351">
        <v>4844103</v>
      </c>
      <c r="C55" s="352">
        <f>VLOOKUP($A55, OpCost[], 11, FALSE)</f>
        <v>4431157.333333333</v>
      </c>
      <c r="D55" s="353">
        <f>VLOOKUP($A55, Ridership[], 11, FALSE)</f>
        <v>113591.66666666667</v>
      </c>
      <c r="E55" s="353">
        <f>VLOOKUP($A55, VRHsizing[], 11, FALSE)</f>
        <v>44169.132221433334</v>
      </c>
      <c r="F55" s="353">
        <f>VLOOKUP($A55, VRMsizing[], 11, FALSE)</f>
        <v>887259.67366666661</v>
      </c>
      <c r="G55" s="354">
        <f t="shared" si="29"/>
        <v>0.10342269471656547</v>
      </c>
      <c r="H55" s="354">
        <f t="shared" si="30"/>
        <v>0.10344221305565708</v>
      </c>
      <c r="I55" s="355">
        <f t="shared" si="31"/>
        <v>0.10342269471656547</v>
      </c>
      <c r="J55" s="356">
        <f>MIN(0.3*Rural!B55,Rural!I55*Assumptions!$E$20)</f>
        <v>875191.71145101765</v>
      </c>
      <c r="K55" s="356"/>
      <c r="L55" s="357">
        <f>I55*Assumptions!$E$20-Rural!J55</f>
        <v>0</v>
      </c>
      <c r="M55" s="322">
        <f t="shared" si="32"/>
        <v>0.1034422130556571</v>
      </c>
      <c r="N55" s="325">
        <f>MIN(0.3*B55,M55*Assumptions!$E$20)</f>
        <v>875356.88108463713</v>
      </c>
      <c r="O55" s="325"/>
      <c r="P55" s="321">
        <f>M55*Assumptions!$E$20-N55</f>
        <v>0</v>
      </c>
      <c r="Q55" s="302"/>
      <c r="R55" s="450">
        <f>VLOOKUP($A55,OpCost[[Agency]:[FY25 Operating Cost Performance]], 5, FALSE)</f>
        <v>5022923</v>
      </c>
      <c r="S55">
        <f>VLOOKUP($A55,Ridership[[Agency]:[FY25 Ridership]], 5, FALSE)</f>
        <v>125848</v>
      </c>
      <c r="T55">
        <f>VLOOKUP($A55,VRH[[Agency]:[FY25 Revenue Hours]], 4, FALSE)</f>
        <v>46101.396664300002</v>
      </c>
      <c r="U55">
        <f>VLOOKUP($A55,VRM[[Agency]:[FY25 Revenue Miles]], 4, FALSE)</f>
        <v>941674</v>
      </c>
      <c r="W55" s="455">
        <f t="shared" si="33"/>
        <v>2.7298088367343145</v>
      </c>
      <c r="X55" s="455">
        <f t="shared" si="34"/>
        <v>0.13364285304680812</v>
      </c>
      <c r="Y55" s="456">
        <f t="shared" si="35"/>
        <v>108.95381405851531</v>
      </c>
      <c r="Z55" s="456">
        <f t="shared" si="36"/>
        <v>5.3340359827286301</v>
      </c>
      <c r="AA55" s="456">
        <f t="shared" si="37"/>
        <v>39.912616807577393</v>
      </c>
      <c r="AB55" s="466">
        <f t="shared" si="38"/>
        <v>0</v>
      </c>
      <c r="AC55" s="466">
        <f t="shared" si="39"/>
        <v>0</v>
      </c>
      <c r="AD55" s="466">
        <f t="shared" si="40"/>
        <v>0</v>
      </c>
      <c r="AE55" s="466">
        <f t="shared" si="41"/>
        <v>0</v>
      </c>
      <c r="AF55" s="466">
        <f t="shared" si="42"/>
        <v>0</v>
      </c>
      <c r="AG55" s="506">
        <f t="shared" si="43"/>
        <v>0</v>
      </c>
      <c r="AH55" s="452">
        <f t="shared" si="44"/>
        <v>0</v>
      </c>
      <c r="AI55" s="502">
        <f t="shared" si="45"/>
        <v>0</v>
      </c>
      <c r="AJ55" s="457">
        <f t="shared" si="46"/>
        <v>0</v>
      </c>
      <c r="AK55" s="980"/>
      <c r="AL55" s="912">
        <f t="shared" si="47"/>
        <v>875356.88108463713</v>
      </c>
      <c r="AM55" s="918">
        <v>962324.56930696522</v>
      </c>
      <c r="AN55" s="501">
        <f t="shared" si="48"/>
        <v>-86967.688222328085</v>
      </c>
      <c r="AO55" s="502">
        <f t="shared" si="49"/>
        <v>-9.0372511516524381E-2</v>
      </c>
      <c r="AP55" s="938">
        <f t="shared" si="50"/>
        <v>-2.5958572064385461E-2</v>
      </c>
    </row>
    <row r="56" spans="1:42" ht="14.25" hidden="1">
      <c r="A56" s="521" t="s">
        <v>31</v>
      </c>
      <c r="B56" s="351">
        <f>VLOOKUP($A56, 'Allocation Calculations_FY26'!$B$12:$D$49, 3, FALSE)</f>
        <v>2126888</v>
      </c>
      <c r="C56" s="352">
        <f>VLOOKUP($A56, OpCost[], 11, FALSE)</f>
        <v>1941279</v>
      </c>
      <c r="D56" s="353">
        <f>VLOOKUP($A56, Ridership[], 11, FALSE)</f>
        <v>76073.666666666672</v>
      </c>
      <c r="E56" s="353">
        <f>VLOOKUP($A56, VRHsizing[], 11, FALSE)</f>
        <v>22918.600000000002</v>
      </c>
      <c r="F56" s="353">
        <f>VLOOKUP($A56, VRMsizing[], 11, FALSE)</f>
        <v>440344.33333333331</v>
      </c>
      <c r="G56" s="354">
        <f t="shared" si="29"/>
        <v>5.1553992285947654E-2</v>
      </c>
      <c r="H56" s="354">
        <f t="shared" si="30"/>
        <v>5.141996804151211E-2</v>
      </c>
      <c r="I56" s="355">
        <f t="shared" si="31"/>
        <v>5.1553992285947654E-2</v>
      </c>
      <c r="J56" s="356">
        <f>MIN(0.3*Rural!B56,Rural!I56*Assumptions!$E$20)</f>
        <v>436264.27318030578</v>
      </c>
      <c r="K56" s="356"/>
      <c r="L56" s="357">
        <f>I56*Assumptions!$E$20-Rural!J56</f>
        <v>0</v>
      </c>
      <c r="M56" s="322">
        <f t="shared" si="32"/>
        <v>5.1419968041512117E-2</v>
      </c>
      <c r="N56" s="325">
        <f>MIN(0.3*B56,M56*Assumptions!$E$20)</f>
        <v>435130.12261320901</v>
      </c>
      <c r="O56" s="325"/>
      <c r="P56" s="321">
        <f>M56*Assumptions!$E$20-N56</f>
        <v>0</v>
      </c>
      <c r="Q56" s="302"/>
      <c r="R56" s="450">
        <f>VLOOKUP($A56,OpCost[[Agency]:[FY25 Operating Cost Performance]], 5, FALSE)</f>
        <v>2126888</v>
      </c>
      <c r="S56">
        <f>VLOOKUP($A56,Ridership[[Agency]:[FY25 Ridership]], 5, FALSE)</f>
        <v>77878</v>
      </c>
      <c r="T56">
        <f>VLOOKUP($A56,VRH[[Agency]:[FY25 Revenue Hours]], 4, FALSE)</f>
        <v>24727.8</v>
      </c>
      <c r="U56">
        <f>VLOOKUP($A56,VRM[[Agency]:[FY25 Revenue Miles]], 4, FALSE)</f>
        <v>442128</v>
      </c>
      <c r="W56" s="455">
        <f t="shared" si="33"/>
        <v>3.1494107846229751</v>
      </c>
      <c r="X56" s="455">
        <f t="shared" si="34"/>
        <v>0.17614356023594976</v>
      </c>
      <c r="Y56" s="456">
        <f t="shared" si="35"/>
        <v>86.01201886136252</v>
      </c>
      <c r="Z56" s="456">
        <f t="shared" si="36"/>
        <v>4.810570694459523</v>
      </c>
      <c r="AA56" s="456">
        <f t="shared" si="37"/>
        <v>27.310511312565808</v>
      </c>
      <c r="AB56" s="466">
        <f t="shared" si="38"/>
        <v>0</v>
      </c>
      <c r="AC56" s="466">
        <f t="shared" si="39"/>
        <v>0</v>
      </c>
      <c r="AD56" s="466">
        <f t="shared" si="40"/>
        <v>0</v>
      </c>
      <c r="AE56" s="466">
        <f t="shared" si="41"/>
        <v>0</v>
      </c>
      <c r="AF56" s="466">
        <f t="shared" si="42"/>
        <v>0</v>
      </c>
      <c r="AG56" s="506">
        <f t="shared" si="43"/>
        <v>0</v>
      </c>
      <c r="AH56" s="452">
        <f t="shared" si="44"/>
        <v>0</v>
      </c>
      <c r="AI56" s="502">
        <f t="shared" si="45"/>
        <v>0</v>
      </c>
      <c r="AJ56" s="457">
        <f t="shared" si="46"/>
        <v>0</v>
      </c>
      <c r="AK56" s="980"/>
      <c r="AL56" s="912">
        <f t="shared" si="47"/>
        <v>435130.12261320901</v>
      </c>
      <c r="AM56" s="918">
        <f>VLOOKUP(A56,'Allocation Calculations_FY26'!$B$12:$CH$49, 85, FALSE)</f>
        <v>373177.02133930218</v>
      </c>
      <c r="AN56" s="501">
        <f t="shared" si="48"/>
        <v>61953.101273906825</v>
      </c>
      <c r="AO56" s="502">
        <f t="shared" si="49"/>
        <v>0.16601531640818115</v>
      </c>
      <c r="AP56" s="938">
        <f t="shared" si="50"/>
        <v>-4.2193276221340323E-2</v>
      </c>
    </row>
    <row r="57" spans="1:42" ht="14.25" hidden="1">
      <c r="A57" s="521" t="s">
        <v>30</v>
      </c>
      <c r="B57" s="351">
        <f>VLOOKUP($A57, 'Allocation Calculations_FY26'!$B$12:$D$49, 3, FALSE)</f>
        <v>2846110</v>
      </c>
      <c r="C57" s="352">
        <f>VLOOKUP($A57, OpCost[], 11, FALSE)</f>
        <v>2404687</v>
      </c>
      <c r="D57" s="353">
        <f>VLOOKUP($A57, Ridership[], 11, FALSE)</f>
        <v>112185</v>
      </c>
      <c r="E57" s="353">
        <f>VLOOKUP($A57, VRHsizing[], 11, FALSE)</f>
        <v>33277.113333333335</v>
      </c>
      <c r="F57" s="353">
        <f>VLOOKUP($A57, VRMsizing[], 11, FALSE)</f>
        <v>399997.66666666669</v>
      </c>
      <c r="G57" s="354">
        <f t="shared" si="29"/>
        <v>6.6484378364079222E-2</v>
      </c>
      <c r="H57" s="354">
        <f t="shared" si="30"/>
        <v>6.5402494861577801E-2</v>
      </c>
      <c r="I57" s="355">
        <f t="shared" si="31"/>
        <v>6.6484378364079222E-2</v>
      </c>
      <c r="J57" s="356">
        <f>MIN(0.3*Rural!B57,Rural!I57*Assumptions!$E$20)</f>
        <v>562609.36774736363</v>
      </c>
      <c r="K57" s="356"/>
      <c r="L57" s="357">
        <f>I57*Assumptions!$E$20-Rural!J57</f>
        <v>0</v>
      </c>
      <c r="M57" s="322">
        <f t="shared" si="32"/>
        <v>6.5402494861577815E-2</v>
      </c>
      <c r="N57" s="325">
        <f>MIN(0.3*B57,M57*Assumptions!$E$20)</f>
        <v>553454.16755905165</v>
      </c>
      <c r="O57" s="325"/>
      <c r="P57" s="321">
        <f>M57*Assumptions!$E$20-N57</f>
        <v>0</v>
      </c>
      <c r="Q57" s="302"/>
      <c r="R57" s="450">
        <f>VLOOKUP($A57,OpCost[[Agency]:[FY25 Operating Cost Performance]], 5, FALSE)</f>
        <v>2846110</v>
      </c>
      <c r="S57">
        <f>VLOOKUP($A57,Ridership[[Agency]:[FY25 Ridership]], 5, FALSE)</f>
        <v>90833</v>
      </c>
      <c r="T57">
        <f>VLOOKUP($A57,VRH[[Agency]:[FY25 Revenue Hours]], 4, FALSE)</f>
        <v>36673.339999999997</v>
      </c>
      <c r="U57">
        <f>VLOOKUP($A57,VRM[[Agency]:[FY25 Revenue Miles]], 4, FALSE)</f>
        <v>388317</v>
      </c>
      <c r="W57" s="455">
        <f t="shared" si="33"/>
        <v>2.4768128564237677</v>
      </c>
      <c r="X57" s="455">
        <f t="shared" si="34"/>
        <v>0.23391455949649384</v>
      </c>
      <c r="Y57" s="456">
        <f t="shared" si="35"/>
        <v>77.607057333747079</v>
      </c>
      <c r="Z57" s="456">
        <f t="shared" si="36"/>
        <v>7.3293468995691669</v>
      </c>
      <c r="AA57" s="456">
        <f t="shared" si="37"/>
        <v>31.333436086003985</v>
      </c>
      <c r="AB57" s="466">
        <f t="shared" si="38"/>
        <v>0</v>
      </c>
      <c r="AC57" s="466">
        <f t="shared" si="39"/>
        <v>0</v>
      </c>
      <c r="AD57" s="466">
        <f t="shared" si="40"/>
        <v>0</v>
      </c>
      <c r="AE57" s="466">
        <f t="shared" si="41"/>
        <v>0</v>
      </c>
      <c r="AF57" s="466">
        <f t="shared" si="42"/>
        <v>0</v>
      </c>
      <c r="AG57" s="506">
        <f t="shared" si="43"/>
        <v>0</v>
      </c>
      <c r="AH57" s="452">
        <f t="shared" si="44"/>
        <v>0</v>
      </c>
      <c r="AI57" s="502">
        <f t="shared" si="45"/>
        <v>0</v>
      </c>
      <c r="AJ57" s="457">
        <f t="shared" si="46"/>
        <v>0</v>
      </c>
      <c r="AK57" s="980"/>
      <c r="AL57" s="912">
        <f t="shared" si="47"/>
        <v>553454.16755905165</v>
      </c>
      <c r="AM57" s="918">
        <f>VLOOKUP(A57,'Allocation Calculations_FY26'!$B$12:$CH$49, 85, FALSE)</f>
        <v>471126.30704332248</v>
      </c>
      <c r="AN57" s="501">
        <f t="shared" si="48"/>
        <v>82327.860515729175</v>
      </c>
      <c r="AO57" s="502">
        <f t="shared" si="49"/>
        <v>0.17474689756214082</v>
      </c>
      <c r="AP57" s="938">
        <f t="shared" si="50"/>
        <v>-9.591359197021203E-4</v>
      </c>
    </row>
    <row r="58" spans="1:42" ht="14.25" hidden="1">
      <c r="A58" s="521" t="s">
        <v>24</v>
      </c>
      <c r="B58" s="351">
        <f>VLOOKUP($A58, 'Allocation Calculations_FY26'!$B$12:$D$49, 3, FALSE)</f>
        <v>5173162</v>
      </c>
      <c r="C58" s="352">
        <f>VLOOKUP($A58, OpCost[], 11, FALSE)</f>
        <v>5147439</v>
      </c>
      <c r="D58" s="353">
        <f>VLOOKUP($A58, Ridership[], 11, FALSE)</f>
        <v>129417</v>
      </c>
      <c r="E58" s="353">
        <f>VLOOKUP($A58, VRHsizing[], 11, FALSE)</f>
        <v>61316.236666666664</v>
      </c>
      <c r="F58" s="353">
        <f>VLOOKUP($A58, VRMsizing[], 11, FALSE)</f>
        <v>1395913.6666666667</v>
      </c>
      <c r="G58" s="354">
        <f t="shared" si="29"/>
        <v>0.12606049608330522</v>
      </c>
      <c r="H58" s="354">
        <f t="shared" si="30"/>
        <v>0.12935786523748866</v>
      </c>
      <c r="I58" s="355">
        <f t="shared" si="31"/>
        <v>0.12606049608330522</v>
      </c>
      <c r="J58" s="356">
        <f>MIN(0.3*Rural!B58,Rural!I58*Assumptions!$E$20)</f>
        <v>1066759.1055896247</v>
      </c>
      <c r="K58" s="356"/>
      <c r="L58" s="357">
        <f>I58*Assumptions!$E$20-Rural!J58</f>
        <v>0</v>
      </c>
      <c r="M58" s="322">
        <f t="shared" si="32"/>
        <v>0.12935786523748868</v>
      </c>
      <c r="N58" s="325">
        <f>MIN(0.3*B58,M58*Assumptions!$E$20)</f>
        <v>1094662.3637791777</v>
      </c>
      <c r="O58" s="325"/>
      <c r="P58" s="321">
        <f>M58*Assumptions!$E$20-N58</f>
        <v>0</v>
      </c>
      <c r="Q58" s="302"/>
      <c r="R58" s="450">
        <f>VLOOKUP($A58,OpCost[[Agency]:[FY25 Operating Cost Performance]], 5, FALSE)</f>
        <v>5803873</v>
      </c>
      <c r="S58">
        <f>VLOOKUP($A58,Ridership[[Agency]:[FY25 Ridership]], 5, FALSE)</f>
        <v>131277</v>
      </c>
      <c r="T58">
        <f>VLOOKUP($A58,VRH[[Agency]:[FY25 Revenue Hours]], 4, FALSE)</f>
        <v>61710.71</v>
      </c>
      <c r="U58">
        <f>VLOOKUP($A58,VRM[[Agency]:[FY25 Revenue Miles]], 4, FALSE)</f>
        <v>1393044</v>
      </c>
      <c r="W58" s="455">
        <f t="shared" si="33"/>
        <v>2.1272968662976006</v>
      </c>
      <c r="X58" s="455">
        <f t="shared" si="34"/>
        <v>9.4237511521531259E-2</v>
      </c>
      <c r="Y58" s="456">
        <f t="shared" si="35"/>
        <v>94.049687647411616</v>
      </c>
      <c r="Z58" s="456">
        <f t="shared" si="36"/>
        <v>4.1663242510645748</v>
      </c>
      <c r="AA58" s="456">
        <f t="shared" si="37"/>
        <v>44.210889950257851</v>
      </c>
      <c r="AB58" s="466">
        <f t="shared" si="38"/>
        <v>0</v>
      </c>
      <c r="AC58" s="466">
        <f t="shared" si="39"/>
        <v>0</v>
      </c>
      <c r="AD58" s="466">
        <f t="shared" si="40"/>
        <v>0</v>
      </c>
      <c r="AE58" s="466">
        <f t="shared" si="41"/>
        <v>0</v>
      </c>
      <c r="AF58" s="466">
        <f t="shared" si="42"/>
        <v>0</v>
      </c>
      <c r="AG58" s="506">
        <f t="shared" si="43"/>
        <v>0</v>
      </c>
      <c r="AH58" s="452">
        <f t="shared" si="44"/>
        <v>0</v>
      </c>
      <c r="AI58" s="502">
        <f t="shared" si="45"/>
        <v>0</v>
      </c>
      <c r="AJ58" s="457">
        <f t="shared" si="46"/>
        <v>0</v>
      </c>
      <c r="AK58" s="980"/>
      <c r="AL58" s="912">
        <f t="shared" si="47"/>
        <v>1094662.3637791777</v>
      </c>
      <c r="AM58" s="918">
        <f>VLOOKUP(A58,'Allocation Calculations_FY26'!$B$12:$CH$49, 85, FALSE)</f>
        <v>1001821.9709905545</v>
      </c>
      <c r="AN58" s="501">
        <f t="shared" si="48"/>
        <v>92840.39278862311</v>
      </c>
      <c r="AO58" s="502">
        <f t="shared" si="49"/>
        <v>9.267154791666915E-2</v>
      </c>
      <c r="AP58" s="938">
        <f t="shared" si="50"/>
        <v>-6.1859178826965337E-2</v>
      </c>
    </row>
    <row r="59" spans="1:42" ht="14.25" hidden="1">
      <c r="A59" s="521" t="s">
        <v>55</v>
      </c>
      <c r="B59" s="351">
        <v>0</v>
      </c>
      <c r="C59" s="352">
        <f>VLOOKUP($A59, OpCost[], 11, FALSE)</f>
        <v>92402</v>
      </c>
      <c r="D59" s="353">
        <f>VLOOKUP($A59, Ridership[], 11, FALSE)</f>
        <v>3559.6666666666665</v>
      </c>
      <c r="E59" s="353">
        <f>VLOOKUP($A59, VRHsizing[], 11, FALSE)</f>
        <v>900.33333333333337</v>
      </c>
      <c r="F59" s="353">
        <f>VLOOKUP($A59, VRMsizing[], 11, FALSE)</f>
        <v>11763.333333333334</v>
      </c>
      <c r="G59" s="354">
        <f t="shared" si="29"/>
        <v>2.2941823844650692E-3</v>
      </c>
      <c r="H59" s="354">
        <f t="shared" si="30"/>
        <v>2.2155580319755167E-3</v>
      </c>
      <c r="I59" s="355">
        <f t="shared" si="31"/>
        <v>2.2941823844650692E-3</v>
      </c>
      <c r="J59" s="356">
        <f>MIN(0.3*Rural!B59,Rural!I59*Assumptions!$E$20)</f>
        <v>0</v>
      </c>
      <c r="K59" s="356"/>
      <c r="L59" s="357">
        <f>I59*Assumptions!$E$20-Rural!J59</f>
        <v>19414.011720960876</v>
      </c>
      <c r="M59" s="334">
        <f t="shared" si="32"/>
        <v>2.2155580319755171E-3</v>
      </c>
      <c r="N59" s="325">
        <f>MIN(0.3*B59,M59*Assumptions!$E$20)</f>
        <v>0</v>
      </c>
      <c r="O59" s="325"/>
      <c r="P59" s="321">
        <f>M59*Assumptions!$E$20-N59</f>
        <v>18748.670503487865</v>
      </c>
      <c r="Q59" s="302"/>
      <c r="R59" s="450">
        <f>VLOOKUP($A59,OpCost[[Agency]:[FY25 Operating Cost Performance]], 5, FALSE)</f>
        <v>165644</v>
      </c>
      <c r="S59">
        <f>VLOOKUP($A59,Ridership[[Agency]:[FY25 Ridership]], 5, FALSE)</f>
        <v>6669</v>
      </c>
      <c r="T59">
        <f>VLOOKUP($A59,VRH[[Agency]:[FY25 Revenue Hours]], 4, FALSE)</f>
        <v>1636</v>
      </c>
      <c r="U59">
        <f>VLOOKUP($A59,VRM[[Agency]:[FY25 Revenue Miles]], 4, FALSE)</f>
        <v>14369</v>
      </c>
      <c r="W59" s="455">
        <f t="shared" si="33"/>
        <v>4.0764058679706601</v>
      </c>
      <c r="X59" s="455">
        <f t="shared" si="34"/>
        <v>0.46412415616953162</v>
      </c>
      <c r="Y59" s="456">
        <f t="shared" si="35"/>
        <v>101.24938875305624</v>
      </c>
      <c r="Z59" s="456">
        <f t="shared" si="36"/>
        <v>11.527872503305728</v>
      </c>
      <c r="AA59" s="456">
        <f t="shared" si="37"/>
        <v>24.837906732643575</v>
      </c>
      <c r="AB59" s="466">
        <f t="shared" si="38"/>
        <v>0</v>
      </c>
      <c r="AC59" s="466">
        <f t="shared" si="39"/>
        <v>0</v>
      </c>
      <c r="AD59" s="466">
        <f t="shared" si="40"/>
        <v>0</v>
      </c>
      <c r="AE59" s="466">
        <f t="shared" si="41"/>
        <v>0</v>
      </c>
      <c r="AF59" s="466">
        <f t="shared" si="42"/>
        <v>0</v>
      </c>
      <c r="AG59" s="506">
        <f t="shared" si="43"/>
        <v>0</v>
      </c>
      <c r="AH59" s="949">
        <v>0</v>
      </c>
      <c r="AI59" s="502">
        <v>0</v>
      </c>
      <c r="AJ59" s="457">
        <f t="shared" si="46"/>
        <v>0</v>
      </c>
      <c r="AK59" s="980"/>
      <c r="AL59" s="912">
        <f t="shared" si="47"/>
        <v>0</v>
      </c>
      <c r="AM59" s="918">
        <v>0</v>
      </c>
      <c r="AN59" s="501">
        <f t="shared" si="48"/>
        <v>0</v>
      </c>
      <c r="AO59" s="953">
        <v>0</v>
      </c>
      <c r="AP59" s="938">
        <v>0</v>
      </c>
    </row>
    <row r="60" spans="1:42" ht="15" hidden="1" thickBot="1">
      <c r="A60" s="521" t="s">
        <v>35</v>
      </c>
      <c r="B60" s="351">
        <f>VLOOKUP($A60, 'Allocation Calculations_FY26'!$B$12:$D$49, 3, FALSE)</f>
        <v>2998198</v>
      </c>
      <c r="C60" s="379">
        <f>VLOOKUP($A60, OpCost[], 11, FALSE)</f>
        <v>2775045.6666666665</v>
      </c>
      <c r="D60" s="380">
        <f>VLOOKUP($A60, Ridership[], 11, FALSE)</f>
        <v>158496.33333333334</v>
      </c>
      <c r="E60" s="380">
        <f>VLOOKUP($A60, VRHsizing[], 11, FALSE)</f>
        <v>46596.333333333336</v>
      </c>
      <c r="F60" s="380">
        <f>VLOOKUP($A60, VRMsizing[], 11, FALSE)</f>
        <v>484163.33333333331</v>
      </c>
      <c r="G60" s="354">
        <f t="shared" si="29"/>
        <v>8.4083935679314437E-2</v>
      </c>
      <c r="H60" s="354">
        <f t="shared" si="30"/>
        <v>8.2912434000386129E-2</v>
      </c>
      <c r="I60" s="355">
        <f t="shared" si="31"/>
        <v>8.4083935679314437E-2</v>
      </c>
      <c r="J60" s="381">
        <f>MIN(0.3*Rural!B60,Rural!I60*Assumptions!$E$20)</f>
        <v>711541.73437843577</v>
      </c>
      <c r="K60" s="381"/>
      <c r="L60" s="382">
        <f>I60*Assumptions!$E$20-Rural!J60</f>
        <v>0</v>
      </c>
      <c r="M60" s="335">
        <f t="shared" si="32"/>
        <v>8.2912434000386143E-2</v>
      </c>
      <c r="N60" s="332">
        <f>MIN(0.3*B60,M60*Assumptions!$E$20)</f>
        <v>701628.16016574635</v>
      </c>
      <c r="O60" s="332"/>
      <c r="P60" s="333">
        <f>M60*Assumptions!$E$20-N60</f>
        <v>0</v>
      </c>
      <c r="Q60" s="302"/>
      <c r="R60" s="450">
        <f>VLOOKUP($A60,OpCost[[Agency]:[FY25 Operating Cost Performance]], 5, FALSE)</f>
        <v>2998198</v>
      </c>
      <c r="S60">
        <f>VLOOKUP($A60,Ridership[[Agency]:[FY25 Ridership]], 5, FALSE)</f>
        <v>177659</v>
      </c>
      <c r="T60">
        <f>VLOOKUP($A60,VRH[[Agency]:[FY25 Revenue Hours]], 4, FALSE)</f>
        <v>48302</v>
      </c>
      <c r="U60">
        <f>VLOOKUP($A60,VRM[[Agency]:[FY25 Revenue Miles]], 4, FALSE)</f>
        <v>490148</v>
      </c>
      <c r="W60" s="476">
        <f t="shared" si="33"/>
        <v>3.6780878638565691</v>
      </c>
      <c r="X60" s="476">
        <f t="shared" si="34"/>
        <v>0.36245991006797945</v>
      </c>
      <c r="Y60" s="477">
        <f t="shared" si="35"/>
        <v>62.071922487681668</v>
      </c>
      <c r="Z60" s="477">
        <f t="shared" si="36"/>
        <v>6.1169238678929627</v>
      </c>
      <c r="AA60" s="477">
        <f t="shared" si="37"/>
        <v>16.876139120449849</v>
      </c>
      <c r="AB60" s="466">
        <f t="shared" si="38"/>
        <v>0</v>
      </c>
      <c r="AC60" s="466">
        <f t="shared" si="39"/>
        <v>0</v>
      </c>
      <c r="AD60" s="466">
        <f t="shared" si="40"/>
        <v>1</v>
      </c>
      <c r="AE60" s="466">
        <f t="shared" si="41"/>
        <v>0</v>
      </c>
      <c r="AF60" s="466">
        <f t="shared" si="42"/>
        <v>1</v>
      </c>
      <c r="AG60" s="509">
        <f t="shared" si="43"/>
        <v>2</v>
      </c>
      <c r="AH60" s="484">
        <f t="shared" si="44"/>
        <v>0.16582486800077229</v>
      </c>
      <c r="AI60" s="510">
        <f t="shared" si="45"/>
        <v>0.18281483784121069</v>
      </c>
      <c r="AJ60" s="511">
        <f t="shared" si="46"/>
        <v>83455.410864260775</v>
      </c>
      <c r="AK60" s="982"/>
      <c r="AL60" s="937">
        <f t="shared" si="47"/>
        <v>785083.57103000709</v>
      </c>
      <c r="AM60" s="950">
        <f>VLOOKUP(A60,'Allocation Calculations_FY26'!$B$12:$CH$49, 85, FALSE)</f>
        <v>681012.57966416562</v>
      </c>
      <c r="AN60" s="951">
        <f t="shared" si="48"/>
        <v>104070.99136584147</v>
      </c>
      <c r="AO60" s="952">
        <f t="shared" si="49"/>
        <v>0.15281801610355425</v>
      </c>
      <c r="AP60" s="939">
        <f t="shared" si="50"/>
        <v>5.4188640451663092E-2</v>
      </c>
    </row>
    <row r="61" spans="1:42" ht="15.75" hidden="1" thickTop="1" thickBot="1">
      <c r="A61" s="363" t="s">
        <v>121</v>
      </c>
      <c r="B61" s="364" t="s">
        <v>173</v>
      </c>
      <c r="C61" s="365">
        <f t="shared" ref="C61:J61" si="51">SUM(C41:C60)</f>
        <v>35359410</v>
      </c>
      <c r="D61" s="366">
        <f t="shared" si="51"/>
        <v>1611624.6666666667</v>
      </c>
      <c r="E61" s="366">
        <f t="shared" si="51"/>
        <v>485425.18222143326</v>
      </c>
      <c r="F61" s="366">
        <f t="shared" si="51"/>
        <v>8434020.0069999993</v>
      </c>
      <c r="G61" s="367">
        <f t="shared" si="51"/>
        <v>1</v>
      </c>
      <c r="H61" s="367">
        <f t="shared" si="51"/>
        <v>0.99999999999999989</v>
      </c>
      <c r="I61" s="368">
        <f t="shared" si="51"/>
        <v>1</v>
      </c>
      <c r="J61" s="383">
        <f t="shared" si="51"/>
        <v>8388913.7105897516</v>
      </c>
      <c r="K61" s="383"/>
      <c r="L61" s="378">
        <f>SUM(L41:L60)</f>
        <v>73365.423110253483</v>
      </c>
      <c r="M61" s="313">
        <f>SUM(M41:M60)</f>
        <v>1.0000000000000002</v>
      </c>
      <c r="N61" s="326">
        <f>SUM(N41:N60)</f>
        <v>8382907.1133345142</v>
      </c>
      <c r="O61" s="326"/>
      <c r="P61" s="314">
        <f>SUM(P41:P60)</f>
        <v>79372.020365491277</v>
      </c>
      <c r="Q61" s="302"/>
      <c r="R61" s="946">
        <f>SUM(R41:R60)</f>
        <v>38620388</v>
      </c>
      <c r="S61" s="947">
        <f t="shared" ref="S61:U61" si="52">SUM(S41:S60)</f>
        <v>1713625</v>
      </c>
      <c r="T61" s="947">
        <f t="shared" si="52"/>
        <v>497369.54666429997</v>
      </c>
      <c r="U61" s="947">
        <f t="shared" si="52"/>
        <v>8571322</v>
      </c>
      <c r="V61" s="461" t="s">
        <v>122</v>
      </c>
      <c r="W61" s="474">
        <f t="shared" si="33"/>
        <v>3.4453758005345123</v>
      </c>
      <c r="X61" s="474">
        <f t="shared" si="34"/>
        <v>0.19992540240583659</v>
      </c>
      <c r="Y61" s="475">
        <f t="shared" si="35"/>
        <v>77.649281623723667</v>
      </c>
      <c r="Z61" s="475">
        <f t="shared" si="36"/>
        <v>4.505767955048241</v>
      </c>
      <c r="AA61" s="475">
        <f t="shared" si="37"/>
        <v>22.537245896856081</v>
      </c>
      <c r="AB61" s="516">
        <f>SUM(AB41:AB60)</f>
        <v>0</v>
      </c>
      <c r="AC61" s="516">
        <f t="shared" ref="AC61:AF61" si="53">SUM(AC41:AC60)</f>
        <v>0</v>
      </c>
      <c r="AD61" s="516">
        <f t="shared" si="53"/>
        <v>8</v>
      </c>
      <c r="AE61" s="516">
        <f t="shared" si="53"/>
        <v>8</v>
      </c>
      <c r="AF61" s="517">
        <f t="shared" si="53"/>
        <v>8</v>
      </c>
      <c r="AG61" s="507">
        <f t="shared" ref="AG61:AM61" si="54">SUM(AG41:AG60)</f>
        <v>24</v>
      </c>
      <c r="AH61" s="452">
        <f t="shared" si="54"/>
        <v>0.90706460131427868</v>
      </c>
      <c r="AI61" s="454">
        <f t="shared" si="54"/>
        <v>1</v>
      </c>
      <c r="AJ61" s="948">
        <f t="shared" si="54"/>
        <v>456502.39252870961</v>
      </c>
      <c r="AK61" s="948"/>
      <c r="AL61" s="459">
        <f t="shared" si="54"/>
        <v>8839409.5058632232</v>
      </c>
      <c r="AM61" s="453">
        <f t="shared" si="54"/>
        <v>7921565.0485784821</v>
      </c>
    </row>
    <row r="62" spans="1:42" ht="14.25" hidden="1">
      <c r="A62" s="301"/>
      <c r="B62" s="336"/>
      <c r="C62" s="526"/>
      <c r="D62" s="527"/>
      <c r="E62" s="527"/>
      <c r="F62" s="527"/>
      <c r="G62" s="527"/>
      <c r="H62" s="528"/>
      <c r="I62" s="528"/>
      <c r="J62" s="526"/>
      <c r="K62" s="526"/>
      <c r="L62" s="526"/>
      <c r="M62" s="529"/>
      <c r="N62" s="526"/>
      <c r="P62" s="530"/>
      <c r="Q62" s="302"/>
      <c r="V62" s="461" t="s">
        <v>124</v>
      </c>
      <c r="W62" s="458">
        <f>MEDIAN(W41:W60)</f>
        <v>3.528736498213596</v>
      </c>
      <c r="X62" s="458">
        <f t="shared" ref="X62:AA62" si="55">MEDIAN(X41:X60)</f>
        <v>0.19960092625521361</v>
      </c>
      <c r="Y62" s="458">
        <f t="shared" si="55"/>
        <v>72.297812677013212</v>
      </c>
      <c r="Z62" s="458">
        <f t="shared" si="55"/>
        <v>4.1367890826707283</v>
      </c>
      <c r="AA62" s="458">
        <f t="shared" si="55"/>
        <v>20.037745761346365</v>
      </c>
    </row>
    <row r="63" spans="1:42" ht="14.25" hidden="1">
      <c r="A63" s="375"/>
      <c r="B63" s="336"/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Q63" s="302"/>
      <c r="V63" s="461" t="s">
        <v>126</v>
      </c>
      <c r="W63" s="458">
        <f>AVERAGE(W41:W60)</f>
        <v>3.8132503088307361</v>
      </c>
      <c r="X63" s="458">
        <f t="shared" ref="X63:AA63" si="56">AVERAGE(X41:X60)</f>
        <v>0.30150774979060457</v>
      </c>
      <c r="Y63" s="458">
        <f t="shared" si="56"/>
        <v>72.97066235130788</v>
      </c>
      <c r="Z63" s="458">
        <f t="shared" si="56"/>
        <v>5.4170839187504187</v>
      </c>
      <c r="AA63" s="458">
        <f t="shared" si="56"/>
        <v>22.120638769638283</v>
      </c>
    </row>
    <row r="64" spans="1:42" hidden="1">
      <c r="V64" s="462" t="s">
        <v>198</v>
      </c>
      <c r="W64" s="458">
        <f>PERCENTILE(W41:W60,$AC64)</f>
        <v>3.993641702780268</v>
      </c>
      <c r="X64" s="458">
        <f>PERCENTILE(X41:X60,$AC64)</f>
        <v>0.22254329283898597</v>
      </c>
      <c r="Y64" s="464">
        <f>PERCENTILE(Y41:Y60,(1-$AC64))</f>
        <v>64.668275129489189</v>
      </c>
      <c r="Z64" s="464">
        <f>PERCENTILE(Z41:Z60,(1-$AC64))</f>
        <v>4.0042919508350003</v>
      </c>
      <c r="AA64" s="464">
        <f>PERCENTILE(AA41:AA60,(1-$AC64))</f>
        <v>18.214561899766103</v>
      </c>
      <c r="AB64" s="480" t="s">
        <v>151</v>
      </c>
      <c r="AC64" s="531">
        <f>V7</f>
        <v>0.6</v>
      </c>
      <c r="AD64" s="237" t="s">
        <v>152</v>
      </c>
    </row>
    <row r="65" spans="1:42" hidden="1">
      <c r="V65" s="533" t="s">
        <v>127</v>
      </c>
      <c r="W65" s="469">
        <v>3.1082858660126309</v>
      </c>
      <c r="X65" s="469">
        <v>0.20635524405463498</v>
      </c>
      <c r="Y65" s="470">
        <v>55.061574406323651</v>
      </c>
      <c r="Z65" s="470">
        <v>3.5012670287300849</v>
      </c>
      <c r="AA65" s="470">
        <v>19.840487117333982</v>
      </c>
    </row>
    <row r="66" spans="1:42" ht="26.25" hidden="1" thickBot="1">
      <c r="AG66" s="518" t="s">
        <v>80</v>
      </c>
      <c r="AH66" s="519"/>
      <c r="AI66" s="520">
        <f>Assumptions!E28</f>
        <v>471291.40016785316</v>
      </c>
    </row>
    <row r="67" spans="1:42" ht="15" hidden="1" thickBot="1">
      <c r="B67" s="1158" t="s">
        <v>81</v>
      </c>
      <c r="C67" s="1159"/>
      <c r="D67" s="1159"/>
      <c r="E67" s="1159"/>
      <c r="F67" s="1159"/>
      <c r="G67" s="1160"/>
      <c r="H67" s="1160"/>
      <c r="I67" s="1161" t="s">
        <v>70</v>
      </c>
      <c r="J67" s="1161"/>
      <c r="K67" s="1161"/>
      <c r="L67" s="1161"/>
      <c r="M67" s="1162" t="s">
        <v>71</v>
      </c>
      <c r="N67" s="1162"/>
      <c r="O67" s="1162"/>
      <c r="P67" s="1162"/>
    </row>
    <row r="68" spans="1:42" ht="72" hidden="1" thickBot="1">
      <c r="A68" s="471" t="s">
        <v>82</v>
      </c>
      <c r="B68" s="346" t="s">
        <v>153</v>
      </c>
      <c r="C68" s="347" t="s">
        <v>154</v>
      </c>
      <c r="D68" s="347" t="s">
        <v>155</v>
      </c>
      <c r="E68" s="347" t="s">
        <v>156</v>
      </c>
      <c r="F68" s="347" t="s">
        <v>157</v>
      </c>
      <c r="G68" s="347" t="s">
        <v>88</v>
      </c>
      <c r="H68" s="347" t="s">
        <v>89</v>
      </c>
      <c r="I68" s="348" t="s">
        <v>90</v>
      </c>
      <c r="J68" s="349" t="s">
        <v>91</v>
      </c>
      <c r="K68" s="349"/>
      <c r="L68" s="350" t="s">
        <v>3</v>
      </c>
      <c r="M68" s="311" t="s">
        <v>92</v>
      </c>
      <c r="N68" s="327" t="s">
        <v>93</v>
      </c>
      <c r="O68" s="327"/>
      <c r="P68" s="312" t="s">
        <v>3</v>
      </c>
      <c r="Q68" s="302"/>
      <c r="R68" s="503" t="s">
        <v>158</v>
      </c>
      <c r="S68" s="503" t="s">
        <v>159</v>
      </c>
      <c r="T68" s="503" t="s">
        <v>160</v>
      </c>
      <c r="U68" s="503" t="s">
        <v>161</v>
      </c>
      <c r="V68" s="286"/>
      <c r="W68" s="504" t="s">
        <v>199</v>
      </c>
      <c r="X68" s="504" t="s">
        <v>200</v>
      </c>
      <c r="Y68" s="504" t="s">
        <v>201</v>
      </c>
      <c r="Z68" s="504" t="s">
        <v>202</v>
      </c>
      <c r="AA68" s="504" t="s">
        <v>203</v>
      </c>
      <c r="AB68" s="463" t="s">
        <v>163</v>
      </c>
      <c r="AC68" s="463" t="s">
        <v>164</v>
      </c>
      <c r="AD68" s="463" t="s">
        <v>165</v>
      </c>
      <c r="AE68" s="463" t="s">
        <v>166</v>
      </c>
      <c r="AF68" s="514" t="s">
        <v>167</v>
      </c>
      <c r="AG68" s="513" t="s">
        <v>113</v>
      </c>
      <c r="AI68" s="503" t="s">
        <v>114</v>
      </c>
      <c r="AJ68" s="503" t="s">
        <v>172</v>
      </c>
      <c r="AK68" s="981"/>
      <c r="AL68" s="911" t="s">
        <v>116</v>
      </c>
      <c r="AM68" s="915" t="s">
        <v>117</v>
      </c>
      <c r="AN68" s="916" t="s">
        <v>118</v>
      </c>
      <c r="AO68" s="917" t="s">
        <v>119</v>
      </c>
      <c r="AP68" s="449"/>
    </row>
    <row r="69" spans="1:42" ht="14.25" hidden="1">
      <c r="A69" s="521" t="s">
        <v>59</v>
      </c>
      <c r="B69" s="351">
        <f>VLOOKUP($A69, 'Allocation Calculations_FY25'!$B$9:$C$48, 2, FALSE)</f>
        <v>50424</v>
      </c>
      <c r="C69" s="352">
        <f>VLOOKUP($A69, OpCost[], 12, FALSE)</f>
        <v>65331.333333333336</v>
      </c>
      <c r="D69" s="353">
        <f>VLOOKUP($A69, Ridership[], 12, FALSE)</f>
        <v>2501.3333333333335</v>
      </c>
      <c r="E69" s="353">
        <f>VLOOKUP($A69, VRHsizing[], 12, FALSE)</f>
        <v>908</v>
      </c>
      <c r="F69" s="353">
        <f>VLOOKUP($A69, VRMsizing[], 12, FALSE)</f>
        <v>6976</v>
      </c>
      <c r="G69" s="354">
        <f t="shared" ref="G69:G88" si="57">IFERROR($I$9*(C69/C$89),0) + IFERROR($J$9*(D69/D$89),0) + IFERROR($K$9*(E69/E$89),0) + IFERROR($L$9*(F69/F$89),0)</f>
        <v>1.8060808472283229E-3</v>
      </c>
      <c r="H69" s="354">
        <f t="shared" ref="H69:H88" si="58">IFERROR($M$9*(C69/C$89),0) + IFERROR($N$9*(D69/D$89),0) + IFERROR($O$9*(E69/E$89),0) + IFERROR($P$9*(F69/F$89),0)</f>
        <v>1.759491868735266E-3</v>
      </c>
      <c r="I69" s="355">
        <f>G69/SUM($G$69:$G$88)</f>
        <v>1.8060808472283225E-3</v>
      </c>
      <c r="J69" s="356">
        <f>MIN(0.3*Rural!B69,Rural!I69*Assumptions!$E$29)</f>
        <v>15127.199999999999</v>
      </c>
      <c r="K69" s="356"/>
      <c r="L69" s="357">
        <f>I69*Assumptions!$E$29-Rural!J69</f>
        <v>327.13574318013707</v>
      </c>
      <c r="M69" s="320">
        <f>H69/SUM($H$69:$H$88)</f>
        <v>1.7594918687352664E-3</v>
      </c>
      <c r="N69" s="325">
        <f>MIN(0.3*B69,M69*Assumptions!$E$29)</f>
        <v>15055.681543027122</v>
      </c>
      <c r="O69" s="325"/>
      <c r="P69" s="321">
        <f>M69*Assumptions!$E$29-N69</f>
        <v>0</v>
      </c>
      <c r="Q69" s="302"/>
      <c r="R69" s="450">
        <f>VLOOKUP($A69,OpCost[[Agency]:[FY25 Operating Cost Performance]],  4,  FALSE)</f>
        <v>50424</v>
      </c>
      <c r="S69">
        <f>VLOOKUP($A69,Ridership[[Agency]:[FY25 Ridership]],  4,  FALSE)</f>
        <v>3145</v>
      </c>
      <c r="T69">
        <f>VLOOKUP($A69,VRH[[Agency]:[FY25 Revenue Hours]],  3,  FALSE)</f>
        <v>502</v>
      </c>
      <c r="U69">
        <f>VLOOKUP($A69,VRM[[Agency]:[FY25 Revenue Miles]],  3,  FALSE)</f>
        <v>6777</v>
      </c>
      <c r="W69" s="455">
        <f>S69/T69</f>
        <v>6.2649402390438249</v>
      </c>
      <c r="X69" s="455">
        <f>S69/U69</f>
        <v>0.46406964733657963</v>
      </c>
      <c r="Y69" s="456">
        <f>R69/T69</f>
        <v>100.44621513944223</v>
      </c>
      <c r="Z69" s="456">
        <f>R69/U69</f>
        <v>7.4404603806994247</v>
      </c>
      <c r="AA69" s="456">
        <f>R69/S69</f>
        <v>16.033068362480126</v>
      </c>
      <c r="AB69" s="466">
        <f>IF(W$10="Yes",(IF($V$6="Weighted Average",IF(W69&gt;=W$89,1,0),IF($V$6="MEDIAN",IF(W69&gt;=W$90,1,0),IF($V$6="MEAN",IF(W69&gt;=W$91,1,0),IF($V$6="PERCENTILE",IF(W69&gt;=W$92,1,0),IF(W69&gt;=W$93,1,0)) )))), 0)</f>
        <v>0</v>
      </c>
      <c r="AC69" s="466">
        <f>IF(X$10="Yes",(IF($V$6="Weighted Average",IF(X69&gt;=X$89,1,0),IF($V$6="MEDIAN",IF(X69&gt;=X$90,1,0),IF($V$6="MEAN",IF(X69&gt;=X$91,1,0),IF($V$6="PERCENTILE",IF(X69&gt;=X$92,1,0),IF(X69&gt;=X$93,1,0)) )))), 0)</f>
        <v>0</v>
      </c>
      <c r="AD69" s="466">
        <f>IF(Y$10="Yes",(IF($V$6="Weighted Average",IF(Y69&lt;=Y$89,1,0),IF($V$6="MEDIAN",IF(Y69&lt;=Y$90,1,0),IF($V$6="MEAN",IF(Y69&lt;=Y$91,1,0),IF($V$6="PERCENTILE",IF(Y69&lt;=Y$92,1,0),IF(Y69&lt;=Y$93,1,0)) )))), 0)</f>
        <v>0</v>
      </c>
      <c r="AE69" s="466">
        <f>IF(Z$10="Yes",(IF($V$6="Weighted Average",IF(Z69&lt;=Z$89,1,0),IF($V$6="MEDIAN",IF(Z69&lt;=Z$90,1,0),IF($V$6="MEAN",IF(Z69&lt;=Z$91,1,0),IF($V$6="PERCENTILE",IF(Z69&lt;=Z$92,1,0),IF(Z69&lt;=Z$93,1,0)) )))), 0)</f>
        <v>0</v>
      </c>
      <c r="AF69" s="960">
        <f>IF(AA$10="Yes",(IF($V$6="Weighted Average",IF(AA69&lt;=AA$89,1,0),IF($V$6="MEDIAN",IF(AA69&lt;=AA$90,1,0),IF($V$6="MEAN",IF(AA69&lt;=AA$91,1,0),IF($V$6="PERCENTILE",IF(AA69&lt;=AA$92,1,0),IF(AA69&lt;=AA$93,1,0)) )))), 0)</f>
        <v>1</v>
      </c>
      <c r="AG69" s="506">
        <f>MIN(SUM(AB69:AF69),$AG$6)</f>
        <v>1</v>
      </c>
      <c r="AH69" s="452">
        <f>M69*AG69</f>
        <v>1.7594918687352664E-3</v>
      </c>
      <c r="AI69" s="502">
        <f>AH69/$AH$89</f>
        <v>2.0429036979556841E-3</v>
      </c>
      <c r="AJ69" s="457">
        <f>AI69*$AI$66</f>
        <v>962.80294421761937</v>
      </c>
      <c r="AK69" s="980"/>
      <c r="AL69" s="912">
        <f>AJ69+N69</f>
        <v>16018.484487244741</v>
      </c>
      <c r="AM69" s="918">
        <f>VLOOKUP(A69,'Allocation Calculations_FY25'!$B$9:$CA$48,78, FALSE)</f>
        <v>11946</v>
      </c>
      <c r="AN69" s="501">
        <f>AL69-AM69</f>
        <v>4072.4844872447411</v>
      </c>
      <c r="AO69" s="919">
        <f>AN69/AM69</f>
        <v>0.34090779233590668</v>
      </c>
    </row>
    <row r="70" spans="1:42" ht="14.25" hidden="1">
      <c r="A70" s="521" t="s">
        <v>41</v>
      </c>
      <c r="B70" s="351">
        <f>VLOOKUP($A70, 'Allocation Calculations_FY25'!$B$9:$C$48, 2, FALSE)</f>
        <v>192534</v>
      </c>
      <c r="C70" s="352">
        <f>VLOOKUP($A70, OpCost[], 12, FALSE)</f>
        <v>171216.33333333334</v>
      </c>
      <c r="D70" s="353">
        <f>VLOOKUP($A70, Ridership[], 12, FALSE)</f>
        <v>6801</v>
      </c>
      <c r="E70" s="353">
        <f>VLOOKUP($A70, VRHsizing[], 12, FALSE)</f>
        <v>3086</v>
      </c>
      <c r="F70" s="353">
        <f>VLOOKUP($A70, VRMsizing[], 12, FALSE)</f>
        <v>51988.333333333336</v>
      </c>
      <c r="G70" s="354">
        <f t="shared" si="57"/>
        <v>5.3509631447588562E-3</v>
      </c>
      <c r="H70" s="354">
        <f t="shared" si="58"/>
        <v>5.5044781539226482E-3</v>
      </c>
      <c r="I70" s="355">
        <f t="shared" ref="I70:I88" si="59">G70/SUM($G$69:$G$88)</f>
        <v>5.3509631447588553E-3</v>
      </c>
      <c r="J70" s="356">
        <f>MIN(0.3*Rural!B70,Rural!I70*Assumptions!$E$29)</f>
        <v>45787.308533498937</v>
      </c>
      <c r="K70" s="356"/>
      <c r="L70" s="357">
        <f>I70*Assumptions!$E$29-Rural!J70</f>
        <v>0</v>
      </c>
      <c r="M70" s="322">
        <f t="shared" ref="M70:M88" si="60">H70/SUM($H$69:$H$88)</f>
        <v>5.5044781539226491E-3</v>
      </c>
      <c r="N70" s="325">
        <f>MIN(0.3*B70,M70*Assumptions!$E$29)</f>
        <v>47100.911131563982</v>
      </c>
      <c r="O70" s="325"/>
      <c r="P70" s="321">
        <f>M70*Assumptions!$E$29-N70</f>
        <v>0</v>
      </c>
      <c r="Q70" s="302"/>
      <c r="R70" s="450">
        <f>VLOOKUP($A70,OpCost[[Agency]:[FY25 Operating Cost Performance]],  4,  FALSE)</f>
        <v>195234</v>
      </c>
      <c r="S70">
        <f>VLOOKUP($A70,Ridership[[Agency]:[FY25 Ridership]],  4,  FALSE)</f>
        <v>10861</v>
      </c>
      <c r="T70">
        <f>VLOOKUP($A70,VRH[[Agency]:[FY25 Revenue Hours]],  3,  FALSE)</f>
        <v>3108</v>
      </c>
      <c r="U70">
        <f>VLOOKUP($A70,VRM[[Agency]:[FY25 Revenue Miles]],  3,  FALSE)</f>
        <v>52366</v>
      </c>
      <c r="W70" s="455">
        <f t="shared" ref="W70:W89" si="61">S70/T70</f>
        <v>3.4945302445302446</v>
      </c>
      <c r="X70" s="455">
        <f t="shared" ref="X70:X89" si="62">S70/U70</f>
        <v>0.20740556849864417</v>
      </c>
      <c r="Y70" s="456">
        <f t="shared" ref="Y70:Y89" si="63">R70/T70</f>
        <v>62.816602316602314</v>
      </c>
      <c r="Z70" s="456">
        <f t="shared" ref="Z70:Z89" si="64">R70/U70</f>
        <v>3.7282587938738878</v>
      </c>
      <c r="AA70" s="456">
        <f t="shared" ref="AA70:AA89" si="65">R70/S70</f>
        <v>17.97569284596262</v>
      </c>
      <c r="AB70" s="466">
        <f t="shared" ref="AB70:AB88" si="66">IF(W$10="Yes",(IF($V$6="Weighted Average",IF(W70&gt;=W$89,1,0),IF($V$6="MEDIAN",IF(W70&gt;=W$90,1,0),IF($V$6="MEAN",IF(W70&gt;=W$91,1,0),IF($V$6="PERCENTILE",IF(W70&gt;=W$92,1,0),IF(W70&gt;=W$93,1,0)) )))), 0)</f>
        <v>0</v>
      </c>
      <c r="AC70" s="466">
        <f t="shared" ref="AC70:AC88" si="67">IF(X$10="Yes",(IF($V$6="Weighted Average",IF(X70&gt;=X$89,1,0),IF($V$6="MEDIAN",IF(X70&gt;=X$90,1,0),IF($V$6="MEAN",IF(X70&gt;=X$91,1,0),IF($V$6="PERCENTILE",IF(X70&gt;=X$92,1,0),IF(X70&gt;=X$93,1,0)) )))), 0)</f>
        <v>0</v>
      </c>
      <c r="AD70" s="466">
        <f t="shared" ref="AD70:AD88" si="68">IF(Y$10="Yes",(IF($V$6="Weighted Average",IF(Y70&lt;=Y$89,1,0),IF($V$6="MEDIAN",IF(Y70&lt;=Y$90,1,0),IF($V$6="MEAN",IF(Y70&lt;=Y$91,1,0),IF($V$6="PERCENTILE",IF(Y70&lt;=Y$92,1,0),IF(Y70&lt;=Y$93,1,0)) )))), 0)</f>
        <v>0</v>
      </c>
      <c r="AE70" s="466">
        <f t="shared" ref="AE70:AE88" si="69">IF(Z$10="Yes",(IF($V$6="Weighted Average",IF(Z70&lt;=Z$89,1,0),IF($V$6="MEDIAN",IF(Z70&lt;=Z$90,1,0),IF($V$6="MEAN",IF(Z70&lt;=Z$91,1,0),IF($V$6="PERCENTILE",IF(Z70&lt;=Z$92,1,0),IF(Z70&lt;=Z$93,1,0)) )))), 0)</f>
        <v>0</v>
      </c>
      <c r="AF70" s="960">
        <f t="shared" ref="AF70:AF88" si="70">IF(AA$10="Yes",(IF($V$6="Weighted Average",IF(AA70&lt;=AA$89,1,0),IF($V$6="MEDIAN",IF(AA70&lt;=AA$90,1,0),IF($V$6="MEAN",IF(AA70&lt;=AA$91,1,0),IF($V$6="PERCENTILE",IF(AA70&lt;=AA$92,1,0),IF(AA70&lt;=AA$93,1,0)) )))), 0)</f>
        <v>0</v>
      </c>
      <c r="AG70" s="506">
        <f t="shared" ref="AG70:AG88" si="71">MIN(SUM(AB70:AF70),$AG$6)</f>
        <v>0</v>
      </c>
      <c r="AH70" s="452">
        <f t="shared" ref="AH70:AH88" si="72">M70*AG70</f>
        <v>0</v>
      </c>
      <c r="AI70" s="502">
        <f t="shared" ref="AI70:AI88" si="73">AH70/$AH$89</f>
        <v>0</v>
      </c>
      <c r="AJ70" s="457">
        <f t="shared" ref="AJ70:AJ88" si="74">AI70*$AI$66</f>
        <v>0</v>
      </c>
      <c r="AK70" s="980"/>
      <c r="AL70" s="912">
        <f t="shared" ref="AL70:AL88" si="75">AJ70+N70</f>
        <v>47100.911131563982</v>
      </c>
      <c r="AM70" s="918">
        <f>VLOOKUP(A70,'Allocation Calculations_FY25'!$B$9:$CA$48,78, FALSE)</f>
        <v>57885</v>
      </c>
      <c r="AN70" s="501">
        <f t="shared" ref="AN70:AN88" si="76">AL70-AM70</f>
        <v>-10784.088868436018</v>
      </c>
      <c r="AO70" s="919">
        <f t="shared" ref="AO70:AO86" si="77">AN70/AM70</f>
        <v>-0.1863019585114627</v>
      </c>
    </row>
    <row r="71" spans="1:42" ht="14.25" hidden="1">
      <c r="A71" s="521" t="s">
        <v>57</v>
      </c>
      <c r="B71" s="351">
        <v>705034</v>
      </c>
      <c r="C71" s="352">
        <f>VLOOKUP($A71, OpCost[], 12, FALSE)</f>
        <v>622889.33333333337</v>
      </c>
      <c r="D71" s="353">
        <f>VLOOKUP($A71, Ridership[], 12, FALSE)</f>
        <v>24711.666666666668</v>
      </c>
      <c r="E71" s="353">
        <f>VLOOKUP($A71, VRHsizing[], 12, FALSE)</f>
        <v>15533.666666666666</v>
      </c>
      <c r="F71" s="353">
        <f>VLOOKUP($A71, VRMsizing[], 12, FALSE)</f>
        <v>414282</v>
      </c>
      <c r="G71" s="354">
        <f t="shared" si="57"/>
        <v>2.3166109208895669E-2</v>
      </c>
      <c r="H71" s="354">
        <f t="shared" si="58"/>
        <v>2.5578318173963097E-2</v>
      </c>
      <c r="I71" s="355">
        <f t="shared" si="59"/>
        <v>2.3166109208895665E-2</v>
      </c>
      <c r="J71" s="356">
        <f>MIN(0.3*Rural!B71,Rural!I71*Assumptions!$E$29)</f>
        <v>198228.57328168696</v>
      </c>
      <c r="K71" s="356"/>
      <c r="L71" s="357">
        <f>I71*Assumptions!$E$29-Rural!J71</f>
        <v>0</v>
      </c>
      <c r="M71" s="322">
        <f t="shared" si="60"/>
        <v>2.5578318173963104E-2</v>
      </c>
      <c r="N71" s="325">
        <f>MIN(0.3*B71,M71*Assumptions!$E$29)</f>
        <v>211510.19999999998</v>
      </c>
      <c r="O71" s="325"/>
      <c r="P71" s="321">
        <f>M71*Assumptions!$E$29-N71</f>
        <v>7359.2472968625079</v>
      </c>
      <c r="Q71" s="302"/>
      <c r="R71" s="450">
        <f>VLOOKUP($A71,OpCost[[Agency]:[FY25 Operating Cost Performance]],  4,  FALSE)</f>
        <v>716454</v>
      </c>
      <c r="S71">
        <f>VLOOKUP($A71,Ridership[[Agency]:[FY25 Ridership]],  4,  FALSE)</f>
        <v>28422</v>
      </c>
      <c r="T71">
        <f>VLOOKUP($A71,VRH[[Agency]:[FY25 Revenue Hours]],  3,  FALSE)</f>
        <v>15538</v>
      </c>
      <c r="U71">
        <f>VLOOKUP($A71,VRM[[Agency]:[FY25 Revenue Miles]],  3,  FALSE)</f>
        <v>414537</v>
      </c>
      <c r="W71" s="455">
        <f t="shared" si="61"/>
        <v>1.8291929463251384</v>
      </c>
      <c r="X71" s="455">
        <f t="shared" si="62"/>
        <v>6.8563240434508857E-2</v>
      </c>
      <c r="Y71" s="456">
        <f t="shared" si="63"/>
        <v>46.109795340455655</v>
      </c>
      <c r="Z71" s="456">
        <f t="shared" si="64"/>
        <v>1.7283234065957924</v>
      </c>
      <c r="AA71" s="456">
        <f t="shared" si="65"/>
        <v>25.207726409119697</v>
      </c>
      <c r="AB71" s="466">
        <f t="shared" si="66"/>
        <v>0</v>
      </c>
      <c r="AC71" s="466">
        <f t="shared" si="67"/>
        <v>0</v>
      </c>
      <c r="AD71" s="466">
        <f t="shared" si="68"/>
        <v>1</v>
      </c>
      <c r="AE71" s="466">
        <f t="shared" si="69"/>
        <v>1</v>
      </c>
      <c r="AF71" s="960">
        <f t="shared" si="70"/>
        <v>0</v>
      </c>
      <c r="AG71" s="506">
        <f t="shared" si="71"/>
        <v>2</v>
      </c>
      <c r="AH71" s="452">
        <f t="shared" si="72"/>
        <v>5.1156636347926207E-2</v>
      </c>
      <c r="AI71" s="502">
        <f t="shared" si="73"/>
        <v>5.9396740290293959E-2</v>
      </c>
      <c r="AJ71" s="457">
        <f t="shared" si="74"/>
        <v>27993.172896818978</v>
      </c>
      <c r="AK71" s="980"/>
      <c r="AL71" s="912">
        <f t="shared" si="75"/>
        <v>239503.37289681897</v>
      </c>
      <c r="AM71" s="918">
        <v>214936</v>
      </c>
      <c r="AN71" s="501">
        <f t="shared" si="76"/>
        <v>24567.372896818968</v>
      </c>
      <c r="AO71" s="919">
        <f t="shared" si="77"/>
        <v>0.11430087512942907</v>
      </c>
    </row>
    <row r="72" spans="1:42" ht="14.25" hidden="1">
      <c r="A72" s="521" t="s">
        <v>44</v>
      </c>
      <c r="B72" s="351">
        <v>170603</v>
      </c>
      <c r="C72" s="352">
        <f>VLOOKUP($A72, OpCost[], 12, FALSE)</f>
        <v>159669</v>
      </c>
      <c r="D72" s="353">
        <f>VLOOKUP($A72, Ridership[], 12, FALSE)</f>
        <v>11555</v>
      </c>
      <c r="E72" s="353">
        <f>VLOOKUP($A72, VRHsizing[], 12, FALSE)</f>
        <v>5368.333333333333</v>
      </c>
      <c r="F72" s="353">
        <f>VLOOKUP($A72, VRMsizing[], 12, FALSE)</f>
        <v>56080.333333333336</v>
      </c>
      <c r="G72" s="354">
        <f t="shared" si="57"/>
        <v>6.6724409832812784E-3</v>
      </c>
      <c r="H72" s="354">
        <f t="shared" si="58"/>
        <v>6.9515384758252257E-3</v>
      </c>
      <c r="I72" s="355">
        <f t="shared" si="59"/>
        <v>6.6724409832812767E-3</v>
      </c>
      <c r="J72" s="356">
        <f>MIN(0.3*Rural!B72,Rural!I72*Assumptions!$E$29)</f>
        <v>51180.9</v>
      </c>
      <c r="K72" s="356"/>
      <c r="L72" s="357">
        <f>I72*Assumptions!$E$29-Rural!J72</f>
        <v>5914.0763076402218</v>
      </c>
      <c r="M72" s="322">
        <f t="shared" si="60"/>
        <v>6.9515384758252275E-3</v>
      </c>
      <c r="N72" s="325">
        <f>MIN(0.3*B72,M72*Assumptions!$E$29)</f>
        <v>51180.9</v>
      </c>
      <c r="O72" s="325"/>
      <c r="P72" s="321">
        <f>M72*Assumptions!$E$29-N72</f>
        <v>8302.267490484126</v>
      </c>
      <c r="Q72" s="302"/>
      <c r="R72" s="450">
        <f>VLOOKUP($A72,OpCost[[Agency]:[FY25 Operating Cost Performance]],  4,  FALSE)</f>
        <v>170603</v>
      </c>
      <c r="S72">
        <f>VLOOKUP($A72,Ridership[[Agency]:[FY25 Ridership]],  4,  FALSE)</f>
        <v>11675</v>
      </c>
      <c r="T72">
        <f>VLOOKUP($A72,VRH[[Agency]:[FY25 Revenue Hours]],  3,  FALSE)</f>
        <v>5322</v>
      </c>
      <c r="U72">
        <f>VLOOKUP($A72,VRM[[Agency]:[FY25 Revenue Miles]],  3,  FALSE)</f>
        <v>55690</v>
      </c>
      <c r="W72" s="455">
        <f t="shared" si="61"/>
        <v>2.1937241638481773</v>
      </c>
      <c r="X72" s="455">
        <f t="shared" si="62"/>
        <v>0.20964266475130186</v>
      </c>
      <c r="Y72" s="456">
        <f t="shared" si="63"/>
        <v>32.056181886508831</v>
      </c>
      <c r="Z72" s="456">
        <f t="shared" si="64"/>
        <v>3.0634404740527921</v>
      </c>
      <c r="AA72" s="456">
        <f t="shared" si="65"/>
        <v>14.612676659528908</v>
      </c>
      <c r="AB72" s="466">
        <f t="shared" si="66"/>
        <v>0</v>
      </c>
      <c r="AC72" s="466">
        <f t="shared" si="67"/>
        <v>0</v>
      </c>
      <c r="AD72" s="466">
        <f t="shared" si="68"/>
        <v>1</v>
      </c>
      <c r="AE72" s="466">
        <f t="shared" si="69"/>
        <v>1</v>
      </c>
      <c r="AF72" s="960">
        <f t="shared" si="70"/>
        <v>1</v>
      </c>
      <c r="AG72" s="506">
        <f t="shared" si="71"/>
        <v>3</v>
      </c>
      <c r="AH72" s="452">
        <f t="shared" si="72"/>
        <v>2.0854615427475683E-2</v>
      </c>
      <c r="AI72" s="502">
        <f t="shared" si="73"/>
        <v>2.4213792477971341E-2</v>
      </c>
      <c r="AJ72" s="457">
        <f t="shared" si="74"/>
        <v>11411.752160316944</v>
      </c>
      <c r="AK72" s="980"/>
      <c r="AL72" s="912">
        <f t="shared" si="75"/>
        <v>62592.652160316946</v>
      </c>
      <c r="AM72" s="918">
        <v>51181</v>
      </c>
      <c r="AN72" s="501">
        <f t="shared" si="76"/>
        <v>11411.652160316946</v>
      </c>
      <c r="AO72" s="919">
        <f t="shared" si="77"/>
        <v>0.22296657275779969</v>
      </c>
    </row>
    <row r="73" spans="1:42" ht="14.25" hidden="1">
      <c r="A73" s="521" t="s">
        <v>36</v>
      </c>
      <c r="B73" s="351">
        <f>VLOOKUP($A73, 'Allocation Calculations_FY25'!$B$9:$C$48, 2, FALSE)</f>
        <v>703038</v>
      </c>
      <c r="C73" s="352">
        <f>VLOOKUP($A73, OpCost[], 12, FALSE)</f>
        <v>642544.33333333337</v>
      </c>
      <c r="D73" s="353">
        <f>VLOOKUP($A73, Ridership[], 12, FALSE)</f>
        <v>85622.666666666672</v>
      </c>
      <c r="E73" s="353">
        <f>VLOOKUP($A73, VRHsizing[], 12, FALSE)</f>
        <v>12329</v>
      </c>
      <c r="F73" s="353">
        <f>VLOOKUP($A73, VRMsizing[], 12, FALSE)</f>
        <v>177820</v>
      </c>
      <c r="G73" s="354">
        <f t="shared" si="57"/>
        <v>3.2223158720265273E-2</v>
      </c>
      <c r="H73" s="354">
        <f t="shared" si="58"/>
        <v>3.0739103367296943E-2</v>
      </c>
      <c r="I73" s="355">
        <f t="shared" si="59"/>
        <v>3.2223158720265266E-2</v>
      </c>
      <c r="J73" s="356">
        <f>MIN(0.3*Rural!B73,Rural!I73*Assumptions!$E$29)</f>
        <v>210911.4</v>
      </c>
      <c r="K73" s="356"/>
      <c r="L73" s="357">
        <f>I73*Assumptions!$E$29-Rural!J73</f>
        <v>64816.85122031052</v>
      </c>
      <c r="M73" s="322">
        <f t="shared" si="60"/>
        <v>3.073910336729695E-2</v>
      </c>
      <c r="N73" s="325">
        <f>MIN(0.3*B73,M73*Assumptions!$E$29)</f>
        <v>210911.4</v>
      </c>
      <c r="O73" s="325"/>
      <c r="P73" s="321">
        <f>M73*Assumptions!$E$29-N73</f>
        <v>52118.034486035845</v>
      </c>
      <c r="Q73" s="302"/>
      <c r="R73" s="450">
        <f>VLOOKUP($A73,OpCost[[Agency]:[FY25 Operating Cost Performance]],  4,  FALSE)</f>
        <v>703038</v>
      </c>
      <c r="S73">
        <f>VLOOKUP($A73,Ridership[[Agency]:[FY25 Ridership]],  4,  FALSE)</f>
        <v>90145</v>
      </c>
      <c r="T73">
        <f>VLOOKUP($A73,VRH[[Agency]:[FY25 Revenue Hours]],  3,  FALSE)</f>
        <v>11560</v>
      </c>
      <c r="U73">
        <f>VLOOKUP($A73,VRM[[Agency]:[FY25 Revenue Miles]],  3,  FALSE)</f>
        <v>174059</v>
      </c>
      <c r="W73" s="455">
        <f t="shared" si="61"/>
        <v>7.7980103806228378</v>
      </c>
      <c r="X73" s="455">
        <f t="shared" si="62"/>
        <v>0.51789910317765819</v>
      </c>
      <c r="Y73" s="456">
        <f t="shared" si="63"/>
        <v>60.816435986159171</v>
      </c>
      <c r="Z73" s="456">
        <f t="shared" si="64"/>
        <v>4.0390787031983404</v>
      </c>
      <c r="AA73" s="456">
        <f t="shared" si="65"/>
        <v>7.7989683288035945</v>
      </c>
      <c r="AB73" s="466">
        <f t="shared" si="66"/>
        <v>0</v>
      </c>
      <c r="AC73" s="466">
        <f t="shared" si="67"/>
        <v>0</v>
      </c>
      <c r="AD73" s="466">
        <f t="shared" si="68"/>
        <v>1</v>
      </c>
      <c r="AE73" s="466">
        <f t="shared" si="69"/>
        <v>0</v>
      </c>
      <c r="AF73" s="960">
        <f t="shared" si="70"/>
        <v>1</v>
      </c>
      <c r="AG73" s="506">
        <f t="shared" si="71"/>
        <v>2</v>
      </c>
      <c r="AH73" s="452">
        <f t="shared" si="72"/>
        <v>6.14782067345939E-2</v>
      </c>
      <c r="AI73" s="502">
        <f t="shared" si="73"/>
        <v>7.1380867461503933E-2</v>
      </c>
      <c r="AJ73" s="457">
        <f t="shared" si="74"/>
        <v>33641.18897112814</v>
      </c>
      <c r="AK73" s="980"/>
      <c r="AL73" s="912">
        <f t="shared" si="75"/>
        <v>244552.58897112813</v>
      </c>
      <c r="AM73" s="918">
        <f>VLOOKUP(A73,'Allocation Calculations_FY25'!$B$9:$CA$48,78, FALSE)</f>
        <v>210911</v>
      </c>
      <c r="AN73" s="501">
        <f t="shared" si="76"/>
        <v>33641.588971128134</v>
      </c>
      <c r="AO73" s="919">
        <f t="shared" si="77"/>
        <v>0.15950609010970568</v>
      </c>
    </row>
    <row r="74" spans="1:42" ht="14.25" hidden="1">
      <c r="A74" s="521" t="s">
        <v>54</v>
      </c>
      <c r="B74" s="351">
        <f>VLOOKUP($A74, 'Allocation Calculations_FY25'!$B$9:$C$48, 2, FALSE)</f>
        <v>177126</v>
      </c>
      <c r="C74" s="352">
        <f>VLOOKUP($A74, OpCost[], 12, FALSE)</f>
        <v>133593.33333333334</v>
      </c>
      <c r="D74" s="353">
        <f>VLOOKUP($A74, Ridership[], 12, FALSE)</f>
        <v>14429.333333333334</v>
      </c>
      <c r="E74" s="353">
        <f>VLOOKUP($A74, VRHsizing[], 12, FALSE)</f>
        <v>3027.3333333333335</v>
      </c>
      <c r="F74" s="353">
        <f>VLOOKUP($A74, VRMsizing[], 12, FALSE)</f>
        <v>48865.333333333336</v>
      </c>
      <c r="G74" s="354">
        <f t="shared" si="57"/>
        <v>6.2612556935895992E-3</v>
      </c>
      <c r="H74" s="354">
        <f t="shared" si="58"/>
        <v>6.1898333055624916E-3</v>
      </c>
      <c r="I74" s="355">
        <f t="shared" si="59"/>
        <v>6.2612556935895975E-3</v>
      </c>
      <c r="J74" s="356">
        <f>MIN(0.3*Rural!B74,Rural!I74*Assumptions!$E$29)</f>
        <v>53137.799999999996</v>
      </c>
      <c r="K74" s="356"/>
      <c r="L74" s="357">
        <f>I74*Assumptions!$E$29-Rural!J74</f>
        <v>438.73164371281018</v>
      </c>
      <c r="M74" s="322">
        <f t="shared" si="60"/>
        <v>6.1898333055624933E-3</v>
      </c>
      <c r="N74" s="325">
        <f>MIN(0.3*B74,M74*Assumptions!$E$29)</f>
        <v>52965.382056558679</v>
      </c>
      <c r="O74" s="325"/>
      <c r="P74" s="321">
        <f>M74*Assumptions!$E$29-N74</f>
        <v>0</v>
      </c>
      <c r="Q74" s="302"/>
      <c r="R74" s="450">
        <f>VLOOKUP($A74,OpCost[[Agency]:[FY25 Operating Cost Performance]],  4,  FALSE)</f>
        <v>177251</v>
      </c>
      <c r="S74">
        <f>VLOOKUP($A74,Ridership[[Agency]:[FY25 Ridership]],  4,  FALSE)</f>
        <v>14298</v>
      </c>
      <c r="T74">
        <f>VLOOKUP($A74,VRH[[Agency]:[FY25 Revenue Hours]],  3,  FALSE)</f>
        <v>3028</v>
      </c>
      <c r="U74">
        <f>VLOOKUP($A74,VRM[[Agency]:[FY25 Revenue Miles]],  3,  FALSE)</f>
        <v>48696</v>
      </c>
      <c r="W74" s="455">
        <f t="shared" si="61"/>
        <v>4.7219286657859971</v>
      </c>
      <c r="X74" s="455">
        <f t="shared" si="62"/>
        <v>0.29361754558896008</v>
      </c>
      <c r="Y74" s="456">
        <f t="shared" si="63"/>
        <v>58.537318361955087</v>
      </c>
      <c r="Z74" s="456">
        <f t="shared" si="64"/>
        <v>3.6399498932150482</v>
      </c>
      <c r="AA74" s="456">
        <f t="shared" si="65"/>
        <v>12.396908658553643</v>
      </c>
      <c r="AB74" s="466">
        <f t="shared" si="66"/>
        <v>0</v>
      </c>
      <c r="AC74" s="466">
        <f t="shared" si="67"/>
        <v>0</v>
      </c>
      <c r="AD74" s="466">
        <f t="shared" si="68"/>
        <v>1</v>
      </c>
      <c r="AE74" s="466">
        <f t="shared" si="69"/>
        <v>1</v>
      </c>
      <c r="AF74" s="960">
        <f t="shared" si="70"/>
        <v>1</v>
      </c>
      <c r="AG74" s="506">
        <f t="shared" si="71"/>
        <v>3</v>
      </c>
      <c r="AH74" s="452">
        <f t="shared" si="72"/>
        <v>1.8569499916687479E-2</v>
      </c>
      <c r="AI74" s="502">
        <f t="shared" si="73"/>
        <v>2.1560599808998854E-2</v>
      </c>
      <c r="AJ74" s="457">
        <f t="shared" si="74"/>
        <v>10161.325272441818</v>
      </c>
      <c r="AK74" s="980"/>
      <c r="AL74" s="912">
        <f t="shared" si="75"/>
        <v>63126.707329000499</v>
      </c>
      <c r="AM74" s="918">
        <f>VLOOKUP(A74,'Allocation Calculations_FY25'!$B$9:$CA$48,78, FALSE)</f>
        <v>49284</v>
      </c>
      <c r="AN74" s="501">
        <f t="shared" si="76"/>
        <v>13842.707329000499</v>
      </c>
      <c r="AO74" s="919">
        <f t="shared" si="77"/>
        <v>0.28087629512621742</v>
      </c>
    </row>
    <row r="75" spans="1:42" ht="14.25" hidden="1">
      <c r="A75" s="521" t="s">
        <v>34</v>
      </c>
      <c r="B75" s="351">
        <f>VLOOKUP($A75, 'Allocation Calculations_FY25'!$B$9:$C$48, 2, FALSE)</f>
        <v>3419477</v>
      </c>
      <c r="C75" s="352">
        <f>VLOOKUP($A75, OpCost[], 12, FALSE)</f>
        <v>3215342.3333333335</v>
      </c>
      <c r="D75" s="353">
        <f>VLOOKUP($A75, Ridership[], 12, FALSE)</f>
        <v>228358.66666666666</v>
      </c>
      <c r="E75" s="353">
        <f>VLOOKUP($A75, VRHsizing[], 12, FALSE)</f>
        <v>34513.333333333336</v>
      </c>
      <c r="F75" s="353">
        <f>VLOOKUP($A75, VRMsizing[], 12, FALSE)</f>
        <v>521543.33333333331</v>
      </c>
      <c r="G75" s="354">
        <f t="shared" si="57"/>
        <v>0.11028817182169698</v>
      </c>
      <c r="H75" s="354">
        <f t="shared" si="58"/>
        <v>0.10445521354021196</v>
      </c>
      <c r="I75" s="355">
        <f t="shared" si="59"/>
        <v>0.11028817182169695</v>
      </c>
      <c r="J75" s="356">
        <f>MIN(0.3*Rural!B75,Rural!I75*Assumptions!$E$29)</f>
        <v>943717.68486982444</v>
      </c>
      <c r="K75" s="356"/>
      <c r="L75" s="357">
        <f>I75*Assumptions!$E$29-Rural!J75</f>
        <v>0</v>
      </c>
      <c r="M75" s="322">
        <f t="shared" si="60"/>
        <v>0.10445521354021199</v>
      </c>
      <c r="N75" s="325">
        <f>MIN(0.3*B75,M75*Assumptions!$E$29)</f>
        <v>893806.02349742758</v>
      </c>
      <c r="O75" s="325"/>
      <c r="P75" s="321">
        <f>M75*Assumptions!$E$29-N75</f>
        <v>0</v>
      </c>
      <c r="Q75" s="302"/>
      <c r="R75" s="450">
        <f>VLOOKUP($A75,OpCost[[Agency]:[FY25 Operating Cost Performance]],  4,  FALSE)</f>
        <v>3679008</v>
      </c>
      <c r="S75">
        <f>VLOOKUP($A75,Ridership[[Agency]:[FY25 Ridership]],  4,  FALSE)</f>
        <v>235586</v>
      </c>
      <c r="T75">
        <f>VLOOKUP($A75,VRH[[Agency]:[FY25 Revenue Hours]],  3,  FALSE)</f>
        <v>29937</v>
      </c>
      <c r="U75">
        <f>VLOOKUP($A75,VRM[[Agency]:[FY25 Revenue Miles]],  3,  FALSE)</f>
        <v>531990</v>
      </c>
      <c r="W75" s="455">
        <f t="shared" si="61"/>
        <v>7.8693923906871097</v>
      </c>
      <c r="X75" s="455">
        <f t="shared" si="62"/>
        <v>0.44283915111186301</v>
      </c>
      <c r="Y75" s="456">
        <f t="shared" si="63"/>
        <v>122.89167251227578</v>
      </c>
      <c r="Z75" s="456">
        <f t="shared" si="64"/>
        <v>6.9155585631308858</v>
      </c>
      <c r="AA75" s="456">
        <f t="shared" si="65"/>
        <v>15.616411841111102</v>
      </c>
      <c r="AB75" s="466">
        <f t="shared" si="66"/>
        <v>0</v>
      </c>
      <c r="AC75" s="466">
        <f t="shared" si="67"/>
        <v>0</v>
      </c>
      <c r="AD75" s="466">
        <f t="shared" si="68"/>
        <v>0</v>
      </c>
      <c r="AE75" s="466">
        <f t="shared" si="69"/>
        <v>0</v>
      </c>
      <c r="AF75" s="960">
        <f t="shared" si="70"/>
        <v>1</v>
      </c>
      <c r="AG75" s="506">
        <f t="shared" si="71"/>
        <v>1</v>
      </c>
      <c r="AH75" s="452">
        <f t="shared" si="72"/>
        <v>0.10445521354021199</v>
      </c>
      <c r="AI75" s="502">
        <f t="shared" si="73"/>
        <v>0.12128043658731834</v>
      </c>
      <c r="AJ75" s="457">
        <f t="shared" si="74"/>
        <v>57158.426772205785</v>
      </c>
      <c r="AK75" s="980"/>
      <c r="AL75" s="912">
        <f t="shared" si="75"/>
        <v>950964.45026963332</v>
      </c>
      <c r="AM75" s="918">
        <f>VLOOKUP(A75,'Allocation Calculations_FY25'!$B$9:$CA$48,78, FALSE)</f>
        <v>786477</v>
      </c>
      <c r="AN75" s="501">
        <f t="shared" si="76"/>
        <v>164487.45026963332</v>
      </c>
      <c r="AO75" s="919">
        <f t="shared" si="77"/>
        <v>0.20914464157201459</v>
      </c>
    </row>
    <row r="76" spans="1:42" ht="14.25" hidden="1">
      <c r="A76" s="521" t="s">
        <v>51</v>
      </c>
      <c r="B76" s="351">
        <f>VLOOKUP($A76, 'Allocation Calculations_FY25'!$B$9:$C$48, 2, FALSE)</f>
        <v>736481</v>
      </c>
      <c r="C76" s="352">
        <f>VLOOKUP($A76, OpCost[], 12, FALSE)</f>
        <v>774460</v>
      </c>
      <c r="D76" s="353">
        <f>VLOOKUP($A76, Ridership[], 12, FALSE)</f>
        <v>31543.333333333332</v>
      </c>
      <c r="E76" s="353">
        <f>VLOOKUP($A76, VRHsizing[], 12, FALSE)</f>
        <v>18770</v>
      </c>
      <c r="F76" s="353">
        <f>VLOOKUP($A76, VRMsizing[], 12, FALSE)</f>
        <v>219789.66666666666</v>
      </c>
      <c r="G76" s="354">
        <f t="shared" si="57"/>
        <v>2.5196641065815616E-2</v>
      </c>
      <c r="H76" s="354">
        <f t="shared" si="58"/>
        <v>2.6281797281318721E-2</v>
      </c>
      <c r="I76" s="355">
        <f t="shared" si="59"/>
        <v>2.5196641065815609E-2</v>
      </c>
      <c r="J76" s="356">
        <f>MIN(0.3*Rural!B76,Rural!I76*Assumptions!$E$29)</f>
        <v>215603.49927252592</v>
      </c>
      <c r="K76" s="356"/>
      <c r="L76" s="357">
        <f>I76*Assumptions!$E$29-Rural!J76</f>
        <v>0</v>
      </c>
      <c r="M76" s="322">
        <f t="shared" si="60"/>
        <v>2.6281797281318728E-2</v>
      </c>
      <c r="N76" s="325">
        <f>MIN(0.3*B76,M76*Assumptions!$E$29)</f>
        <v>220944.3</v>
      </c>
      <c r="O76" s="325"/>
      <c r="P76" s="321">
        <f>M76*Assumptions!$E$29-N76</f>
        <v>3944.7019198300841</v>
      </c>
      <c r="Q76" s="302"/>
      <c r="R76" s="450">
        <f>VLOOKUP($A76,OpCost[[Agency]:[FY25 Operating Cost Performance]],  4,  FALSE)</f>
        <v>736481</v>
      </c>
      <c r="S76">
        <f>VLOOKUP($A76,Ridership[[Agency]:[FY25 Ridership]],  4,  FALSE)</f>
        <v>27254</v>
      </c>
      <c r="T76">
        <f>VLOOKUP($A76,VRH[[Agency]:[FY25 Revenue Hours]],  3,  FALSE)</f>
        <v>18878</v>
      </c>
      <c r="U76">
        <f>VLOOKUP($A76,VRM[[Agency]:[FY25 Revenue Miles]],  3,  FALSE)</f>
        <v>220116</v>
      </c>
      <c r="W76" s="455">
        <f t="shared" si="61"/>
        <v>1.4436910689691704</v>
      </c>
      <c r="X76" s="455">
        <f t="shared" si="62"/>
        <v>0.12381653310072871</v>
      </c>
      <c r="Y76" s="456">
        <f t="shared" si="63"/>
        <v>39.012660239432144</v>
      </c>
      <c r="Z76" s="456">
        <f t="shared" si="64"/>
        <v>3.3458767195478747</v>
      </c>
      <c r="AA76" s="456">
        <f t="shared" si="65"/>
        <v>27.022859029867174</v>
      </c>
      <c r="AB76" s="466">
        <f t="shared" si="66"/>
        <v>0</v>
      </c>
      <c r="AC76" s="466">
        <f t="shared" si="67"/>
        <v>0</v>
      </c>
      <c r="AD76" s="466">
        <f t="shared" si="68"/>
        <v>1</v>
      </c>
      <c r="AE76" s="466">
        <f t="shared" si="69"/>
        <v>1</v>
      </c>
      <c r="AF76" s="960">
        <f t="shared" si="70"/>
        <v>0</v>
      </c>
      <c r="AG76" s="506">
        <f t="shared" si="71"/>
        <v>2</v>
      </c>
      <c r="AH76" s="452">
        <f t="shared" si="72"/>
        <v>5.2563594562637456E-2</v>
      </c>
      <c r="AI76" s="502">
        <f t="shared" si="73"/>
        <v>6.1030325640005628E-2</v>
      </c>
      <c r="AJ76" s="457">
        <f t="shared" si="74"/>
        <v>28763.067623578281</v>
      </c>
      <c r="AK76" s="980"/>
      <c r="AL76" s="912">
        <f t="shared" si="75"/>
        <v>249707.36762357826</v>
      </c>
      <c r="AM76" s="918">
        <f>VLOOKUP(A76,'Allocation Calculations_FY25'!$B$9:$CA$48,78, FALSE)</f>
        <v>204230</v>
      </c>
      <c r="AN76" s="501">
        <f t="shared" si="76"/>
        <v>45477.367623578262</v>
      </c>
      <c r="AO76" s="919">
        <f t="shared" si="77"/>
        <v>0.22267721502021379</v>
      </c>
    </row>
    <row r="77" spans="1:42" ht="14.25" hidden="1">
      <c r="A77" s="521" t="s">
        <v>23</v>
      </c>
      <c r="B77" s="351">
        <f>VLOOKUP($A77, 'Allocation Calculations_FY25'!$B$9:$C$48, 2, FALSE)</f>
        <v>2496704</v>
      </c>
      <c r="C77" s="352">
        <f>VLOOKUP($A77, OpCost[], 12, FALSE)</f>
        <v>2230208.3333333335</v>
      </c>
      <c r="D77" s="353">
        <f>VLOOKUP($A77, Ridership[], 12, FALSE)</f>
        <v>102465.33333333333</v>
      </c>
      <c r="E77" s="353">
        <f>VLOOKUP($A77, VRHsizing[], 12, FALSE)</f>
        <v>30957.333333333332</v>
      </c>
      <c r="F77" s="353">
        <f>VLOOKUP($A77, VRMsizing[], 12, FALSE)</f>
        <v>641683.33333333337</v>
      </c>
      <c r="G77" s="354">
        <f t="shared" si="57"/>
        <v>7.0108804841860106E-2</v>
      </c>
      <c r="H77" s="354">
        <f t="shared" si="58"/>
        <v>7.0435315586366343E-2</v>
      </c>
      <c r="I77" s="355">
        <f t="shared" si="59"/>
        <v>7.0108804841860092E-2</v>
      </c>
      <c r="J77" s="356">
        <f>MIN(0.3*Rural!B77,Rural!I77*Assumptions!$E$29)</f>
        <v>599909.47262518981</v>
      </c>
      <c r="K77" s="356"/>
      <c r="L77" s="357">
        <f>I77*Assumptions!$E$29-Rural!J77</f>
        <v>0</v>
      </c>
      <c r="M77" s="322">
        <f t="shared" si="60"/>
        <v>7.0435315586366357E-2</v>
      </c>
      <c r="N77" s="325">
        <f>MIN(0.3*B77,M77*Assumptions!$E$29)</f>
        <v>602703.37118022924</v>
      </c>
      <c r="O77" s="325"/>
      <c r="P77" s="321">
        <f>M77*Assumptions!$E$29-N77</f>
        <v>0</v>
      </c>
      <c r="Q77" s="302"/>
      <c r="R77" s="450">
        <f>VLOOKUP($A77,OpCost[[Agency]:[FY25 Operating Cost Performance]],  4,  FALSE)</f>
        <v>2499963</v>
      </c>
      <c r="S77">
        <f>VLOOKUP($A77,Ridership[[Agency]:[FY25 Ridership]],  4,  FALSE)</f>
        <v>121717</v>
      </c>
      <c r="T77">
        <f>VLOOKUP($A77,VRH[[Agency]:[FY25 Revenue Hours]],  3,  FALSE)</f>
        <v>32940</v>
      </c>
      <c r="U77">
        <f>VLOOKUP($A77,VRM[[Agency]:[FY25 Revenue Miles]],  3,  FALSE)</f>
        <v>634178</v>
      </c>
      <c r="W77" s="455">
        <f t="shared" si="61"/>
        <v>3.6951123254401943</v>
      </c>
      <c r="X77" s="455">
        <f t="shared" si="62"/>
        <v>0.19192876447937329</v>
      </c>
      <c r="Y77" s="456">
        <f t="shared" si="63"/>
        <v>75.894444444444446</v>
      </c>
      <c r="Z77" s="456">
        <f t="shared" si="64"/>
        <v>3.9420525467613192</v>
      </c>
      <c r="AA77" s="456">
        <f t="shared" si="65"/>
        <v>20.53914408012028</v>
      </c>
      <c r="AB77" s="466">
        <f t="shared" si="66"/>
        <v>0</v>
      </c>
      <c r="AC77" s="466">
        <f t="shared" si="67"/>
        <v>0</v>
      </c>
      <c r="AD77" s="466">
        <f t="shared" si="68"/>
        <v>0</v>
      </c>
      <c r="AE77" s="466">
        <f t="shared" si="69"/>
        <v>0</v>
      </c>
      <c r="AF77" s="960">
        <f t="shared" si="70"/>
        <v>0</v>
      </c>
      <c r="AG77" s="506">
        <f t="shared" si="71"/>
        <v>0</v>
      </c>
      <c r="AH77" s="452">
        <f t="shared" si="72"/>
        <v>0</v>
      </c>
      <c r="AI77" s="502">
        <f t="shared" si="73"/>
        <v>0</v>
      </c>
      <c r="AJ77" s="457">
        <f t="shared" si="74"/>
        <v>0</v>
      </c>
      <c r="AK77" s="980"/>
      <c r="AL77" s="912">
        <f t="shared" si="75"/>
        <v>602703.37118022924</v>
      </c>
      <c r="AM77" s="918">
        <f>VLOOKUP(A77,'Allocation Calculations_FY25'!$B$9:$CA$48,78, FALSE)</f>
        <v>641176</v>
      </c>
      <c r="AN77" s="501">
        <f t="shared" si="76"/>
        <v>-38472.628819770762</v>
      </c>
      <c r="AO77" s="919">
        <f t="shared" si="77"/>
        <v>-6.0003226602010622E-2</v>
      </c>
    </row>
    <row r="78" spans="1:42" ht="14.25" hidden="1">
      <c r="A78" s="521" t="s">
        <v>45</v>
      </c>
      <c r="B78" s="351">
        <f>VLOOKUP($A78, 'Allocation Calculations_FY25'!$B$9:$C$48, 2, FALSE)</f>
        <v>2111050</v>
      </c>
      <c r="C78" s="352">
        <f>VLOOKUP($A78, OpCost[], 12, FALSE)</f>
        <v>1936640.3333333333</v>
      </c>
      <c r="D78" s="353">
        <f>VLOOKUP($A78, Ridership[], 12, FALSE)</f>
        <v>93290</v>
      </c>
      <c r="E78" s="353">
        <f>VLOOKUP($A78, VRHsizing[], 12, FALSE)</f>
        <v>40878.333333333336</v>
      </c>
      <c r="F78" s="353">
        <f>VLOOKUP($A78, VRMsizing[], 12, FALSE)</f>
        <v>663658.33333333337</v>
      </c>
      <c r="G78" s="354">
        <f t="shared" si="57"/>
        <v>6.6054278038481809E-2</v>
      </c>
      <c r="H78" s="354">
        <f t="shared" si="58"/>
        <v>6.8341398147584734E-2</v>
      </c>
      <c r="I78" s="355">
        <f t="shared" si="59"/>
        <v>6.6054278038481795E-2</v>
      </c>
      <c r="J78" s="356">
        <f>MIN(0.3*Rural!B78,Rural!I78*Assumptions!$E$29)</f>
        <v>565215.55590751278</v>
      </c>
      <c r="K78" s="356"/>
      <c r="L78" s="357">
        <f>I78*Assumptions!$E$29-Rural!J78</f>
        <v>0</v>
      </c>
      <c r="M78" s="322">
        <f t="shared" si="60"/>
        <v>6.8341398147584748E-2</v>
      </c>
      <c r="N78" s="325">
        <f>MIN(0.3*B78,M78*Assumptions!$E$29)</f>
        <v>584786.0652262395</v>
      </c>
      <c r="O78" s="325"/>
      <c r="P78" s="321">
        <f>M78*Assumptions!$E$29-N78</f>
        <v>0</v>
      </c>
      <c r="Q78" s="302"/>
      <c r="R78" s="450">
        <f>VLOOKUP($A78,OpCost[[Agency]:[FY25 Operating Cost Performance]],  4,  FALSE)</f>
        <v>2152208</v>
      </c>
      <c r="S78">
        <f>VLOOKUP($A78,Ridership[[Agency]:[FY25 Ridership]],  4,  FALSE)</f>
        <v>131743</v>
      </c>
      <c r="T78">
        <f>VLOOKUP($A78,VRH[[Agency]:[FY25 Revenue Hours]],  3,  FALSE)</f>
        <v>47343</v>
      </c>
      <c r="U78">
        <f>VLOOKUP($A78,VRM[[Agency]:[FY25 Revenue Miles]],  3,  FALSE)</f>
        <v>639628</v>
      </c>
      <c r="W78" s="455">
        <f t="shared" si="61"/>
        <v>2.7827345119658662</v>
      </c>
      <c r="X78" s="455">
        <f t="shared" si="62"/>
        <v>0.20596815649096037</v>
      </c>
      <c r="Y78" s="456">
        <f t="shared" si="63"/>
        <v>45.459899034704179</v>
      </c>
      <c r="Z78" s="456">
        <f t="shared" si="64"/>
        <v>3.3647807788276936</v>
      </c>
      <c r="AA78" s="456">
        <f t="shared" si="65"/>
        <v>16.33641256081917</v>
      </c>
      <c r="AB78" s="466">
        <f t="shared" si="66"/>
        <v>0</v>
      </c>
      <c r="AC78" s="466">
        <f t="shared" si="67"/>
        <v>0</v>
      </c>
      <c r="AD78" s="466">
        <f t="shared" si="68"/>
        <v>1</v>
      </c>
      <c r="AE78" s="466">
        <f t="shared" si="69"/>
        <v>1</v>
      </c>
      <c r="AF78" s="960">
        <f t="shared" si="70"/>
        <v>1</v>
      </c>
      <c r="AG78" s="506">
        <f t="shared" si="71"/>
        <v>3</v>
      </c>
      <c r="AH78" s="452">
        <f t="shared" si="72"/>
        <v>0.20502419444275424</v>
      </c>
      <c r="AI78" s="502">
        <f t="shared" si="73"/>
        <v>0.2380486619120076</v>
      </c>
      <c r="AJ78" s="457">
        <f t="shared" si="74"/>
        <v>112190.28718059396</v>
      </c>
      <c r="AK78" s="980"/>
      <c r="AL78" s="912">
        <f t="shared" si="75"/>
        <v>696976.35240683344</v>
      </c>
      <c r="AM78" s="918">
        <f>VLOOKUP(A78,'Allocation Calculations_FY25'!$B$9:$CA$48,78, FALSE)</f>
        <v>645662</v>
      </c>
      <c r="AN78" s="501">
        <f t="shared" si="76"/>
        <v>51314.352406833437</v>
      </c>
      <c r="AO78" s="919">
        <f t="shared" si="77"/>
        <v>7.9475565244405647E-2</v>
      </c>
    </row>
    <row r="79" spans="1:42" ht="14.25" hidden="1">
      <c r="A79" s="521" t="s">
        <v>58</v>
      </c>
      <c r="B79" s="351">
        <f>VLOOKUP($A79, 'Allocation Calculations_FY25'!$B$9:$C$48, 2, FALSE)</f>
        <v>450961</v>
      </c>
      <c r="C79" s="352">
        <f>VLOOKUP($A79, OpCost[], 12, FALSE)</f>
        <v>431669.33333333331</v>
      </c>
      <c r="D79" s="353">
        <f>VLOOKUP($A79, Ridership[], 12, FALSE)</f>
        <v>30641.666666666668</v>
      </c>
      <c r="E79" s="353">
        <f>VLOOKUP($A79, VRHsizing[], 12, FALSE)</f>
        <v>8152</v>
      </c>
      <c r="F79" s="353">
        <f>VLOOKUP($A79, VRMsizing[], 12, FALSE)</f>
        <v>130718</v>
      </c>
      <c r="G79" s="354">
        <f t="shared" si="57"/>
        <v>1.6304257692949017E-2</v>
      </c>
      <c r="H79" s="354">
        <f t="shared" si="58"/>
        <v>1.6272223248666114E-2</v>
      </c>
      <c r="I79" s="355">
        <f t="shared" si="59"/>
        <v>1.6304257692949013E-2</v>
      </c>
      <c r="J79" s="356">
        <f>MIN(0.3*Rural!B79,Rural!I79*Assumptions!$E$29)</f>
        <v>135288.29999999999</v>
      </c>
      <c r="K79" s="356"/>
      <c r="L79" s="357">
        <f>I79*Assumptions!$E$29-Rural!J79</f>
        <v>4224.5423053964041</v>
      </c>
      <c r="M79" s="322">
        <f t="shared" si="60"/>
        <v>1.6272223248666118E-2</v>
      </c>
      <c r="N79" s="325">
        <f>MIN(0.3*B79,M79*Assumptions!$E$29)</f>
        <v>135288.29999999999</v>
      </c>
      <c r="O79" s="325"/>
      <c r="P79" s="321">
        <f>M79*Assumptions!$E$29-N79</f>
        <v>3950.4288524721633</v>
      </c>
      <c r="Q79" s="302"/>
      <c r="R79" s="450">
        <f>VLOOKUP($A79,OpCost[[Agency]:[FY25 Operating Cost Performance]],  4,  FALSE)</f>
        <v>456069</v>
      </c>
      <c r="S79">
        <f>VLOOKUP($A79,Ridership[[Agency]:[FY25 Ridership]],  4,  FALSE)</f>
        <v>31171</v>
      </c>
      <c r="T79">
        <f>VLOOKUP($A79,VRH[[Agency]:[FY25 Revenue Hours]],  3,  FALSE)</f>
        <v>8170</v>
      </c>
      <c r="U79">
        <f>VLOOKUP($A79,VRM[[Agency]:[FY25 Revenue Miles]],  3,  FALSE)</f>
        <v>129480</v>
      </c>
      <c r="W79" s="455">
        <f t="shared" si="61"/>
        <v>3.815299877600979</v>
      </c>
      <c r="X79" s="455">
        <f t="shared" si="62"/>
        <v>0.24073988260735249</v>
      </c>
      <c r="Y79" s="456">
        <f t="shared" si="63"/>
        <v>55.822399020807836</v>
      </c>
      <c r="Z79" s="456">
        <f t="shared" si="64"/>
        <v>3.522312326227989</v>
      </c>
      <c r="AA79" s="456">
        <f t="shared" si="65"/>
        <v>14.631195662635141</v>
      </c>
      <c r="AB79" s="466">
        <f t="shared" si="66"/>
        <v>0</v>
      </c>
      <c r="AC79" s="466">
        <f t="shared" si="67"/>
        <v>0</v>
      </c>
      <c r="AD79" s="466">
        <f t="shared" si="68"/>
        <v>1</v>
      </c>
      <c r="AE79" s="466">
        <f t="shared" si="69"/>
        <v>1</v>
      </c>
      <c r="AF79" s="960">
        <f t="shared" si="70"/>
        <v>1</v>
      </c>
      <c r="AG79" s="506">
        <f t="shared" si="71"/>
        <v>3</v>
      </c>
      <c r="AH79" s="452">
        <f t="shared" si="72"/>
        <v>4.8816669745998353E-2</v>
      </c>
      <c r="AI79" s="502">
        <f t="shared" si="73"/>
        <v>5.667986133841376E-2</v>
      </c>
      <c r="AJ79" s="457">
        <f t="shared" si="74"/>
        <v>26712.731211500788</v>
      </c>
      <c r="AK79" s="980"/>
      <c r="AL79" s="912">
        <f t="shared" si="75"/>
        <v>162001.03121150078</v>
      </c>
      <c r="AM79" s="918">
        <f>VLOOKUP(A79,'Allocation Calculations_FY25'!$B$9:$CA$48,78, FALSE)</f>
        <v>127169</v>
      </c>
      <c r="AN79" s="501">
        <f t="shared" si="76"/>
        <v>34832.031211500784</v>
      </c>
      <c r="AO79" s="919">
        <f t="shared" si="77"/>
        <v>0.27390347656662223</v>
      </c>
    </row>
    <row r="80" spans="1:42" ht="14.25" hidden="1">
      <c r="A80" s="521" t="s">
        <v>52</v>
      </c>
      <c r="B80" s="351">
        <v>1199851</v>
      </c>
      <c r="C80" s="352">
        <f>VLOOKUP($A80, OpCost[], 12, FALSE)</f>
        <v>1335881</v>
      </c>
      <c r="D80" s="353">
        <f>VLOOKUP($A80, Ridership[], 12, FALSE)</f>
        <v>51268.666666666664</v>
      </c>
      <c r="E80" s="353">
        <f>VLOOKUP($A80, VRHsizing[], 12, FALSE)</f>
        <v>19734.666666666668</v>
      </c>
      <c r="F80" s="353">
        <f>VLOOKUP($A80, VRMsizing[], 12, FALSE)</f>
        <v>326217</v>
      </c>
      <c r="G80" s="354">
        <f t="shared" si="57"/>
        <v>3.9477184019086071E-2</v>
      </c>
      <c r="H80" s="354">
        <f t="shared" si="58"/>
        <v>3.9781460889328706E-2</v>
      </c>
      <c r="I80" s="355">
        <f t="shared" si="59"/>
        <v>3.9477184019086065E-2</v>
      </c>
      <c r="J80" s="356">
        <f>MIN(0.3*Rural!B80,Rural!I80*Assumptions!$E$29)</f>
        <v>337799.7485342549</v>
      </c>
      <c r="K80" s="356"/>
      <c r="L80" s="357">
        <f>I80*Assumptions!$E$29-Rural!J80</f>
        <v>0</v>
      </c>
      <c r="M80" s="322">
        <f t="shared" si="60"/>
        <v>3.9781460889328712E-2</v>
      </c>
      <c r="N80" s="325">
        <f>MIN(0.3*B80,M80*Assumptions!$E$29)</f>
        <v>340403.39549658797</v>
      </c>
      <c r="O80" s="325"/>
      <c r="P80" s="321">
        <f>M80*Assumptions!$E$29-N80</f>
        <v>0</v>
      </c>
      <c r="Q80" s="302"/>
      <c r="R80" s="450">
        <f>VLOOKUP($A80,OpCost[[Agency]:[FY25 Operating Cost Performance]],  4,  FALSE)</f>
        <v>1347958</v>
      </c>
      <c r="S80">
        <f>VLOOKUP($A80,Ridership[[Agency]:[FY25 Ridership]],  4,  FALSE)</f>
        <v>61663</v>
      </c>
      <c r="T80">
        <f>VLOOKUP($A80,VRH[[Agency]:[FY25 Revenue Hours]],  3,  FALSE)</f>
        <v>18247</v>
      </c>
      <c r="U80">
        <f>VLOOKUP($A80,VRM[[Agency]:[FY25 Revenue Miles]],  3,  FALSE)</f>
        <v>310870</v>
      </c>
      <c r="W80" s="455">
        <f t="shared" si="61"/>
        <v>3.379350030141941</v>
      </c>
      <c r="X80" s="455">
        <f t="shared" si="62"/>
        <v>0.19835622607520828</v>
      </c>
      <c r="Y80" s="456">
        <f t="shared" si="63"/>
        <v>73.872855811914292</v>
      </c>
      <c r="Z80" s="456">
        <f t="shared" si="64"/>
        <v>4.3360826068774729</v>
      </c>
      <c r="AA80" s="456">
        <f t="shared" si="65"/>
        <v>21.860078166809917</v>
      </c>
      <c r="AB80" s="466">
        <f t="shared" si="66"/>
        <v>0</v>
      </c>
      <c r="AC80" s="466">
        <f t="shared" si="67"/>
        <v>0</v>
      </c>
      <c r="AD80" s="466">
        <f t="shared" si="68"/>
        <v>0</v>
      </c>
      <c r="AE80" s="466">
        <f t="shared" si="69"/>
        <v>0</v>
      </c>
      <c r="AF80" s="960">
        <f t="shared" si="70"/>
        <v>0</v>
      </c>
      <c r="AG80" s="506">
        <f t="shared" si="71"/>
        <v>0</v>
      </c>
      <c r="AH80" s="452">
        <f t="shared" si="72"/>
        <v>0</v>
      </c>
      <c r="AI80" s="502">
        <f t="shared" si="73"/>
        <v>0</v>
      </c>
      <c r="AJ80" s="457">
        <f t="shared" si="74"/>
        <v>0</v>
      </c>
      <c r="AK80" s="980"/>
      <c r="AL80" s="912">
        <f t="shared" si="75"/>
        <v>340403.39549658797</v>
      </c>
      <c r="AM80" s="918">
        <v>324509</v>
      </c>
      <c r="AN80" s="501">
        <f t="shared" si="76"/>
        <v>15894.395496587968</v>
      </c>
      <c r="AO80" s="919">
        <f t="shared" si="77"/>
        <v>4.8979829516555683E-2</v>
      </c>
    </row>
    <row r="81" spans="1:41" ht="14.25" hidden="1">
      <c r="A81" s="521" t="s">
        <v>53</v>
      </c>
      <c r="B81" s="351">
        <f>VLOOKUP($A81, 'Allocation Calculations_FY25'!$B$9:$C$48, 2, FALSE)</f>
        <v>1246809</v>
      </c>
      <c r="C81" s="352">
        <f>VLOOKUP($A81, OpCost[], 12, FALSE)</f>
        <v>1147230</v>
      </c>
      <c r="D81" s="353">
        <f>VLOOKUP($A81, Ridership[], 12, FALSE)</f>
        <v>69124.666666666672</v>
      </c>
      <c r="E81" s="353">
        <f>VLOOKUP($A81, VRHsizing[], 12, FALSE)</f>
        <v>20338.333333333332</v>
      </c>
      <c r="F81" s="353">
        <f>VLOOKUP($A81, VRMsizing[], 12, FALSE)</f>
        <v>485814.66666666669</v>
      </c>
      <c r="G81" s="354">
        <f t="shared" si="57"/>
        <v>4.2264307759675525E-2</v>
      </c>
      <c r="H81" s="354">
        <f t="shared" si="58"/>
        <v>4.3311275728256354E-2</v>
      </c>
      <c r="I81" s="355">
        <f t="shared" si="59"/>
        <v>4.2264307759675518E-2</v>
      </c>
      <c r="J81" s="356">
        <f>MIN(0.3*Rural!B81,Rural!I81*Assumptions!$E$29)</f>
        <v>361648.70640951238</v>
      </c>
      <c r="K81" s="356"/>
      <c r="L81" s="357">
        <f>I81*Assumptions!$E$29-Rural!J81</f>
        <v>0</v>
      </c>
      <c r="M81" s="322">
        <f t="shared" si="60"/>
        <v>4.3311275728256361E-2</v>
      </c>
      <c r="N81" s="325">
        <f>MIN(0.3*B81,M81*Assumptions!$E$29)</f>
        <v>370607.43853029993</v>
      </c>
      <c r="O81" s="325"/>
      <c r="P81" s="321">
        <f>M81*Assumptions!$E$29-N81</f>
        <v>0</v>
      </c>
      <c r="Q81" s="302"/>
      <c r="R81" s="450">
        <f>VLOOKUP($A81,OpCost[[Agency]:[FY25 Operating Cost Performance]],  4,  FALSE)</f>
        <v>1246809</v>
      </c>
      <c r="S81">
        <f>VLOOKUP($A81,Ridership[[Agency]:[FY25 Ridership]],  4,  FALSE)</f>
        <v>91713</v>
      </c>
      <c r="T81">
        <f>VLOOKUP($A81,VRH[[Agency]:[FY25 Revenue Hours]],  3,  FALSE)</f>
        <v>20260</v>
      </c>
      <c r="U81">
        <f>VLOOKUP($A81,VRM[[Agency]:[FY25 Revenue Miles]],  3,  FALSE)</f>
        <v>483018</v>
      </c>
      <c r="W81" s="455">
        <f t="shared" si="61"/>
        <v>4.5268015794669303</v>
      </c>
      <c r="X81" s="455">
        <f t="shared" si="62"/>
        <v>0.18987491149398159</v>
      </c>
      <c r="Y81" s="456">
        <f t="shared" si="63"/>
        <v>61.540424481737411</v>
      </c>
      <c r="Z81" s="456">
        <f t="shared" si="64"/>
        <v>2.5812888960659852</v>
      </c>
      <c r="AA81" s="456">
        <f t="shared" si="65"/>
        <v>13.594681233849073</v>
      </c>
      <c r="AB81" s="466">
        <f t="shared" si="66"/>
        <v>0</v>
      </c>
      <c r="AC81" s="466">
        <f t="shared" si="67"/>
        <v>0</v>
      </c>
      <c r="AD81" s="466">
        <f t="shared" si="68"/>
        <v>0</v>
      </c>
      <c r="AE81" s="466">
        <f t="shared" si="69"/>
        <v>1</v>
      </c>
      <c r="AF81" s="960">
        <f t="shared" si="70"/>
        <v>1</v>
      </c>
      <c r="AG81" s="506">
        <f t="shared" si="71"/>
        <v>2</v>
      </c>
      <c r="AH81" s="452">
        <f t="shared" si="72"/>
        <v>8.6622551456512722E-2</v>
      </c>
      <c r="AI81" s="502">
        <f t="shared" si="73"/>
        <v>0.10057536146732375</v>
      </c>
      <c r="AJ81" s="457">
        <f t="shared" si="74"/>
        <v>47400.302928322955</v>
      </c>
      <c r="AK81" s="980"/>
      <c r="AL81" s="912">
        <f t="shared" si="75"/>
        <v>418007.74145862286</v>
      </c>
      <c r="AM81" s="918">
        <f>VLOOKUP(A81,'Allocation Calculations_FY25'!$B$9:$CA$48,78, FALSE)</f>
        <v>374043</v>
      </c>
      <c r="AN81" s="501">
        <f t="shared" si="76"/>
        <v>43964.741458622855</v>
      </c>
      <c r="AO81" s="919">
        <f t="shared" si="77"/>
        <v>0.1175392707753463</v>
      </c>
    </row>
    <row r="82" spans="1:41" ht="14.25" hidden="1">
      <c r="A82" s="521" t="s">
        <v>60</v>
      </c>
      <c r="B82" s="351">
        <v>4543756</v>
      </c>
      <c r="C82" s="352">
        <f>VLOOKUP($A82, OpCost[], 12, FALSE)</f>
        <v>4002188</v>
      </c>
      <c r="D82" s="353">
        <f>VLOOKUP($A82, Ridership[], 12, FALSE)</f>
        <v>165944</v>
      </c>
      <c r="E82" s="353">
        <f>VLOOKUP($A82, VRHsizing[], 12, FALSE)</f>
        <v>59486</v>
      </c>
      <c r="F82" s="353">
        <f>VLOOKUP($A82, VRMsizing[], 12, FALSE)</f>
        <v>922018.66666666663</v>
      </c>
      <c r="G82" s="354">
        <f t="shared" si="57"/>
        <v>0.12016853579078968</v>
      </c>
      <c r="H82" s="354">
        <f t="shared" si="58"/>
        <v>0.12035869207478522</v>
      </c>
      <c r="I82" s="355">
        <f t="shared" si="59"/>
        <v>0.12016853579078965</v>
      </c>
      <c r="J82" s="356">
        <f>MIN(0.3*Rural!B82,Rural!I82*Assumptions!$E$29)</f>
        <v>1028262.328747483</v>
      </c>
      <c r="K82" s="356"/>
      <c r="L82" s="357">
        <f>I82*Assumptions!$E$29-Rural!J82</f>
        <v>0</v>
      </c>
      <c r="M82" s="322">
        <f t="shared" si="60"/>
        <v>0.12035869207478525</v>
      </c>
      <c r="N82" s="325">
        <f>MIN(0.3*B82,M82*Assumptions!$E$29)</f>
        <v>1029889.4646871911</v>
      </c>
      <c r="O82" s="325"/>
      <c r="P82" s="321">
        <f>M82*Assumptions!$E$29-N82</f>
        <v>0</v>
      </c>
      <c r="Q82" s="302"/>
      <c r="R82" s="450">
        <f>VLOOKUP($A82,OpCost[[Agency]:[FY25 Operating Cost Performance]],  4,  FALSE)</f>
        <v>4658904</v>
      </c>
      <c r="S82">
        <f>VLOOKUP($A82,Ridership[[Agency]:[FY25 Ridership]],  4,  FALSE)</f>
        <v>187266</v>
      </c>
      <c r="T82">
        <f>VLOOKUP($A82,VRH[[Agency]:[FY25 Revenue Hours]],  3,  FALSE)</f>
        <v>63759</v>
      </c>
      <c r="U82">
        <f>VLOOKUP($A82,VRM[[Agency]:[FY25 Revenue Miles]],  3,  FALSE)</f>
        <v>935668</v>
      </c>
      <c r="W82" s="455">
        <f t="shared" si="61"/>
        <v>2.9370912341787041</v>
      </c>
      <c r="X82" s="455">
        <f t="shared" si="62"/>
        <v>0.20014150318275287</v>
      </c>
      <c r="Y82" s="456">
        <f t="shared" si="63"/>
        <v>73.070531219122003</v>
      </c>
      <c r="Z82" s="456">
        <f t="shared" si="64"/>
        <v>4.9792276747735311</v>
      </c>
      <c r="AA82" s="456">
        <f t="shared" si="65"/>
        <v>24.878536413443978</v>
      </c>
      <c r="AB82" s="466">
        <f t="shared" si="66"/>
        <v>0</v>
      </c>
      <c r="AC82" s="466">
        <f t="shared" si="67"/>
        <v>0</v>
      </c>
      <c r="AD82" s="466">
        <f t="shared" si="68"/>
        <v>0</v>
      </c>
      <c r="AE82" s="466">
        <f t="shared" si="69"/>
        <v>0</v>
      </c>
      <c r="AF82" s="960">
        <f t="shared" si="70"/>
        <v>0</v>
      </c>
      <c r="AG82" s="506">
        <f t="shared" si="71"/>
        <v>0</v>
      </c>
      <c r="AH82" s="452">
        <f t="shared" si="72"/>
        <v>0</v>
      </c>
      <c r="AI82" s="502">
        <f t="shared" si="73"/>
        <v>0</v>
      </c>
      <c r="AJ82" s="457">
        <f t="shared" si="74"/>
        <v>0</v>
      </c>
      <c r="AK82" s="980"/>
      <c r="AL82" s="912">
        <f t="shared" si="75"/>
        <v>1029889.4646871911</v>
      </c>
      <c r="AM82" s="918">
        <v>1086084</v>
      </c>
      <c r="AN82" s="501">
        <f t="shared" si="76"/>
        <v>-56194.535312808934</v>
      </c>
      <c r="AO82" s="919">
        <f t="shared" si="77"/>
        <v>-5.1740505626460695E-2</v>
      </c>
    </row>
    <row r="83" spans="1:41" ht="14.25" hidden="1">
      <c r="A83" s="521" t="s">
        <v>43</v>
      </c>
      <c r="B83" s="351">
        <v>8487532</v>
      </c>
      <c r="C83" s="352">
        <f>VLOOKUP($A83, OpCost[], 12, FALSE)</f>
        <v>4317672.666666667</v>
      </c>
      <c r="D83" s="353">
        <f>VLOOKUP($A83, Ridership[], 12, FALSE)</f>
        <v>95620.666666666672</v>
      </c>
      <c r="E83" s="353">
        <f>VLOOKUP($A83, VRHsizing[], 12, FALSE)</f>
        <v>40416.666666666664</v>
      </c>
      <c r="F83" s="353">
        <f>VLOOKUP($A83, VRMsizing[], 12, FALSE)</f>
        <v>826421.66666666663</v>
      </c>
      <c r="G83" s="354">
        <f t="shared" si="57"/>
        <v>0.10557118203358107</v>
      </c>
      <c r="H83" s="354">
        <f t="shared" si="58"/>
        <v>0.10502545349613325</v>
      </c>
      <c r="I83" s="355">
        <f t="shared" si="59"/>
        <v>0.10557118203358104</v>
      </c>
      <c r="J83" s="356">
        <f>MIN(0.3*Rural!B83,Rural!I83*Assumptions!$E$29)</f>
        <v>903355.1817213262</v>
      </c>
      <c r="K83" s="356"/>
      <c r="L83" s="357">
        <f>I83*Assumptions!$E$29-Rural!J83</f>
        <v>0</v>
      </c>
      <c r="M83" s="322">
        <f t="shared" si="60"/>
        <v>0.10502545349613328</v>
      </c>
      <c r="N83" s="325">
        <f>MIN(0.3*B83,M83*Assumptions!$E$29)</f>
        <v>898685.47269069485</v>
      </c>
      <c r="O83" s="325"/>
      <c r="P83" s="321">
        <f>M83*Assumptions!$E$29-N83</f>
        <v>0</v>
      </c>
      <c r="Q83" s="302"/>
      <c r="R83" s="450">
        <f>VLOOKUP($A83,OpCost[[Agency]:[FY25 Operating Cost Performance]],  4,  FALSE)</f>
        <v>4352125</v>
      </c>
      <c r="S83">
        <f>VLOOKUP($A83,Ridership[[Agency]:[FY25 Ridership]],  4,  FALSE)</f>
        <v>124465</v>
      </c>
      <c r="T83">
        <f>VLOOKUP($A83,VRH[[Agency]:[FY25 Revenue Hours]],  3,  FALSE)</f>
        <v>46573</v>
      </c>
      <c r="U83">
        <f>VLOOKUP($A83,VRM[[Agency]:[FY25 Revenue Miles]],  3,  FALSE)</f>
        <v>813639</v>
      </c>
      <c r="W83" s="455">
        <f t="shared" si="61"/>
        <v>2.6724711742855303</v>
      </c>
      <c r="X83" s="455">
        <f t="shared" si="62"/>
        <v>0.15297324734925441</v>
      </c>
      <c r="Y83" s="456">
        <f t="shared" si="63"/>
        <v>93.44738367723788</v>
      </c>
      <c r="Z83" s="456">
        <f t="shared" si="64"/>
        <v>5.348963115091582</v>
      </c>
      <c r="AA83" s="456">
        <f t="shared" si="65"/>
        <v>34.966657293214958</v>
      </c>
      <c r="AB83" s="466">
        <f t="shared" si="66"/>
        <v>0</v>
      </c>
      <c r="AC83" s="466">
        <f t="shared" si="67"/>
        <v>0</v>
      </c>
      <c r="AD83" s="466">
        <f t="shared" si="68"/>
        <v>0</v>
      </c>
      <c r="AE83" s="466">
        <f t="shared" si="69"/>
        <v>0</v>
      </c>
      <c r="AF83" s="960">
        <f t="shared" si="70"/>
        <v>0</v>
      </c>
      <c r="AG83" s="506">
        <f t="shared" si="71"/>
        <v>0</v>
      </c>
      <c r="AH83" s="452">
        <f t="shared" si="72"/>
        <v>0</v>
      </c>
      <c r="AI83" s="502">
        <f t="shared" si="73"/>
        <v>0</v>
      </c>
      <c r="AJ83" s="457">
        <f t="shared" si="74"/>
        <v>0</v>
      </c>
      <c r="AK83" s="980"/>
      <c r="AL83" s="912">
        <f t="shared" si="75"/>
        <v>898685.47269069485</v>
      </c>
      <c r="AM83" s="918">
        <v>1873883</v>
      </c>
      <c r="AN83" s="501">
        <f t="shared" si="76"/>
        <v>-975197.52730930515</v>
      </c>
      <c r="AO83" s="919">
        <f t="shared" si="77"/>
        <v>-0.52041537668536675</v>
      </c>
    </row>
    <row r="84" spans="1:41" ht="14.25" hidden="1">
      <c r="A84" s="521" t="s">
        <v>31</v>
      </c>
      <c r="B84" s="351">
        <f>VLOOKUP($A84, 'Allocation Calculations_FY25'!$B$9:$C$48, 2, FALSE)</f>
        <v>1970225</v>
      </c>
      <c r="C84" s="352">
        <f>VLOOKUP($A84, OpCost[], 12, FALSE)</f>
        <v>1714030.6666666667</v>
      </c>
      <c r="D84" s="353">
        <f>VLOOKUP($A84, Ridership[], 12, FALSE)</f>
        <v>86333.666666666672</v>
      </c>
      <c r="E84" s="353">
        <f>VLOOKUP($A84, VRHsizing[], 12, FALSE)</f>
        <v>21431.666666666668</v>
      </c>
      <c r="F84" s="353">
        <f>VLOOKUP($A84, VRMsizing[], 12, FALSE)</f>
        <v>408662</v>
      </c>
      <c r="G84" s="354">
        <f t="shared" si="57"/>
        <v>5.3872068237194912E-2</v>
      </c>
      <c r="H84" s="354">
        <f t="shared" si="58"/>
        <v>5.3091880936619637E-2</v>
      </c>
      <c r="I84" s="355">
        <f t="shared" si="59"/>
        <v>5.3872068237194898E-2</v>
      </c>
      <c r="J84" s="356">
        <f>MIN(0.3*Rural!B84,Rural!I84*Assumptions!$E$29)</f>
        <v>460974.39712889533</v>
      </c>
      <c r="K84" s="356"/>
      <c r="L84" s="357">
        <f>I84*Assumptions!$E$29-Rural!J84</f>
        <v>0</v>
      </c>
      <c r="M84" s="322">
        <f t="shared" si="60"/>
        <v>5.3091880936619651E-2</v>
      </c>
      <c r="N84" s="325">
        <f>MIN(0.3*B84,M84*Assumptions!$E$29)</f>
        <v>454298.46315608406</v>
      </c>
      <c r="O84" s="325"/>
      <c r="P84" s="321">
        <f>M84*Assumptions!$E$29-N84</f>
        <v>0</v>
      </c>
      <c r="Q84" s="302"/>
      <c r="R84" s="450">
        <f>VLOOKUP($A84,OpCost[[Agency]:[FY25 Operating Cost Performance]],  4,  FALSE)</f>
        <v>1970225</v>
      </c>
      <c r="S84">
        <f>VLOOKUP($A84,Ridership[[Agency]:[FY25 Ridership]],  4,  FALSE)</f>
        <v>75077</v>
      </c>
      <c r="T84">
        <f>VLOOKUP($A84,VRH[[Agency]:[FY25 Revenue Hours]],  3,  FALSE)</f>
        <v>22410</v>
      </c>
      <c r="U84">
        <f>VLOOKUP($A84,VRM[[Agency]:[FY25 Revenue Miles]],  3,  FALSE)</f>
        <v>415022</v>
      </c>
      <c r="W84" s="455">
        <f t="shared" si="61"/>
        <v>3.3501561802766622</v>
      </c>
      <c r="X84" s="455">
        <f t="shared" si="62"/>
        <v>0.18089884391670802</v>
      </c>
      <c r="Y84" s="456">
        <f t="shared" si="63"/>
        <v>87.91722445336903</v>
      </c>
      <c r="Z84" s="456">
        <f t="shared" si="64"/>
        <v>4.7472784575275524</v>
      </c>
      <c r="AA84" s="456">
        <f t="shared" si="65"/>
        <v>26.242724136553139</v>
      </c>
      <c r="AB84" s="466">
        <f t="shared" si="66"/>
        <v>0</v>
      </c>
      <c r="AC84" s="466">
        <f t="shared" si="67"/>
        <v>0</v>
      </c>
      <c r="AD84" s="466">
        <f t="shared" si="68"/>
        <v>0</v>
      </c>
      <c r="AE84" s="466">
        <f t="shared" si="69"/>
        <v>0</v>
      </c>
      <c r="AF84" s="960">
        <f t="shared" si="70"/>
        <v>0</v>
      </c>
      <c r="AG84" s="506">
        <f t="shared" si="71"/>
        <v>0</v>
      </c>
      <c r="AH84" s="452">
        <f t="shared" si="72"/>
        <v>0</v>
      </c>
      <c r="AI84" s="502">
        <f t="shared" si="73"/>
        <v>0</v>
      </c>
      <c r="AJ84" s="457">
        <f t="shared" si="74"/>
        <v>0</v>
      </c>
      <c r="AK84" s="980"/>
      <c r="AL84" s="912">
        <f t="shared" si="75"/>
        <v>454298.46315608406</v>
      </c>
      <c r="AM84" s="918">
        <f>VLOOKUP(A84,'Allocation Calculations_FY25'!$B$9:$CA$48,78, FALSE)</f>
        <v>434023</v>
      </c>
      <c r="AN84" s="501">
        <f t="shared" si="76"/>
        <v>20275.463156084064</v>
      </c>
      <c r="AO84" s="919">
        <f t="shared" si="77"/>
        <v>4.6715181352334011E-2</v>
      </c>
    </row>
    <row r="85" spans="1:41" ht="14.25" hidden="1">
      <c r="A85" s="521" t="s">
        <v>30</v>
      </c>
      <c r="B85" s="351">
        <f>VLOOKUP($A85, 'Allocation Calculations_FY25'!$B$9:$C$48, 2, FALSE)</f>
        <v>2604889</v>
      </c>
      <c r="C85" s="352">
        <f>VLOOKUP($A85, OpCost[], 12, FALSE)</f>
        <v>2014373.6666666667</v>
      </c>
      <c r="D85" s="353">
        <f>VLOOKUP($A85, Ridership[], 12, FALSE)</f>
        <v>115973.66666666667</v>
      </c>
      <c r="E85" s="353">
        <f>VLOOKUP($A85, VRHsizing[], 12, FALSE)</f>
        <v>31209.666666666668</v>
      </c>
      <c r="F85" s="353">
        <f>VLOOKUP($A85, VRMsizing[], 12, FALSE)</f>
        <v>370915.66666666669</v>
      </c>
      <c r="G85" s="354">
        <f t="shared" si="57"/>
        <v>6.618540073433106E-2</v>
      </c>
      <c r="H85" s="354">
        <f t="shared" si="58"/>
        <v>6.4741872109420714E-2</v>
      </c>
      <c r="I85" s="355">
        <f t="shared" si="59"/>
        <v>6.6185400734331046E-2</v>
      </c>
      <c r="J85" s="356">
        <f>MIN(0.3*Rural!B85,Rural!I85*Assumptions!$E$29)</f>
        <v>566337.55117606069</v>
      </c>
      <c r="K85" s="356"/>
      <c r="L85" s="357">
        <f>I85*Assumptions!$E$29-Rural!J85</f>
        <v>0</v>
      </c>
      <c r="M85" s="322">
        <f t="shared" si="60"/>
        <v>6.4741872109420728E-2</v>
      </c>
      <c r="N85" s="325">
        <f>MIN(0.3*B85,M85*Assumptions!$E$29)</f>
        <v>553985.51496544969</v>
      </c>
      <c r="O85" s="325"/>
      <c r="P85" s="321">
        <f>M85*Assumptions!$E$29-N85</f>
        <v>0</v>
      </c>
      <c r="Q85" s="302"/>
      <c r="R85" s="450">
        <f>VLOOKUP($A85,OpCost[[Agency]:[FY25 Operating Cost Performance]],  4,  FALSE)</f>
        <v>2609867</v>
      </c>
      <c r="S85">
        <f>VLOOKUP($A85,Ridership[[Agency]:[FY25 Ridership]],  4,  FALSE)</f>
        <v>120233</v>
      </c>
      <c r="T85">
        <f>VLOOKUP($A85,VRH[[Agency]:[FY25 Revenue Hours]],  3,  FALSE)</f>
        <v>32095</v>
      </c>
      <c r="U85">
        <f>VLOOKUP($A85,VRM[[Agency]:[FY25 Revenue Miles]],  3,  FALSE)</f>
        <v>373643</v>
      </c>
      <c r="W85" s="455">
        <f t="shared" si="61"/>
        <v>3.7461598379809939</v>
      </c>
      <c r="X85" s="455">
        <f t="shared" si="62"/>
        <v>0.32178576876858389</v>
      </c>
      <c r="Y85" s="456">
        <f t="shared" si="63"/>
        <v>81.316934101885025</v>
      </c>
      <c r="Z85" s="456">
        <f t="shared" si="64"/>
        <v>6.9849214357019935</v>
      </c>
      <c r="AA85" s="456">
        <f t="shared" si="65"/>
        <v>21.706744404614373</v>
      </c>
      <c r="AB85" s="466">
        <f t="shared" si="66"/>
        <v>0</v>
      </c>
      <c r="AC85" s="466">
        <f t="shared" si="67"/>
        <v>0</v>
      </c>
      <c r="AD85" s="466">
        <f t="shared" si="68"/>
        <v>0</v>
      </c>
      <c r="AE85" s="466">
        <f t="shared" si="69"/>
        <v>0</v>
      </c>
      <c r="AF85" s="960">
        <f t="shared" si="70"/>
        <v>0</v>
      </c>
      <c r="AG85" s="506">
        <f t="shared" si="71"/>
        <v>0</v>
      </c>
      <c r="AH85" s="452">
        <f t="shared" si="72"/>
        <v>0</v>
      </c>
      <c r="AI85" s="502">
        <f t="shared" si="73"/>
        <v>0</v>
      </c>
      <c r="AJ85" s="457">
        <f t="shared" si="74"/>
        <v>0</v>
      </c>
      <c r="AK85" s="980"/>
      <c r="AL85" s="912">
        <f t="shared" si="75"/>
        <v>553985.51496544969</v>
      </c>
      <c r="AM85" s="918">
        <f>VLOOKUP(A85,'Allocation Calculations_FY25'!$B$9:$CA$48,78, FALSE)</f>
        <v>506115</v>
      </c>
      <c r="AN85" s="501">
        <f t="shared" si="76"/>
        <v>47870.514965449693</v>
      </c>
      <c r="AO85" s="919">
        <f t="shared" si="77"/>
        <v>9.4584264377561802E-2</v>
      </c>
    </row>
    <row r="86" spans="1:41" ht="14.25" hidden="1">
      <c r="A86" s="521" t="s">
        <v>24</v>
      </c>
      <c r="B86" s="351">
        <f>VLOOKUP($A86, 'Allocation Calculations_FY25'!$B$9:$C$48, 2, FALSE)</f>
        <v>4550086</v>
      </c>
      <c r="C86" s="352">
        <f>VLOOKUP($A86, OpCost[], 12, FALSE)</f>
        <v>4514243.333333333</v>
      </c>
      <c r="D86" s="353">
        <f>VLOOKUP($A86, Ridership[], 12, FALSE)</f>
        <v>121879.33333333333</v>
      </c>
      <c r="E86" s="353">
        <f>VLOOKUP($A86, VRHsizing[], 12, FALSE)</f>
        <v>59375.333333333336</v>
      </c>
      <c r="F86" s="353">
        <f>VLOOKUP($A86, VRMsizing[], 12, FALSE)</f>
        <v>1358637</v>
      </c>
      <c r="G86" s="354">
        <f t="shared" si="57"/>
        <v>0.124593682438241</v>
      </c>
      <c r="H86" s="354">
        <f t="shared" si="58"/>
        <v>0.12816752326581204</v>
      </c>
      <c r="I86" s="355">
        <f t="shared" si="59"/>
        <v>0.12459368243824097</v>
      </c>
      <c r="J86" s="356">
        <f>MIN(0.3*Rural!B86,Rural!I86*Assumptions!$E$29)</f>
        <v>1066127.578305647</v>
      </c>
      <c r="K86" s="356"/>
      <c r="L86" s="357">
        <f>I86*Assumptions!$E$29-Rural!J86</f>
        <v>0</v>
      </c>
      <c r="M86" s="322">
        <f t="shared" si="60"/>
        <v>0.12816752326581207</v>
      </c>
      <c r="N86" s="325">
        <f>MIN(0.3*B86,M86*Assumptions!$E$29)</f>
        <v>1096708.3444583518</v>
      </c>
      <c r="O86" s="325"/>
      <c r="P86" s="321">
        <f>M86*Assumptions!$E$29-N86</f>
        <v>0</v>
      </c>
      <c r="Q86" s="302"/>
      <c r="R86" s="450">
        <f>VLOOKUP($A86,OpCost[[Agency]:[FY25 Operating Cost Performance]],  4,  FALSE)</f>
        <v>5000804</v>
      </c>
      <c r="S86">
        <f>VLOOKUP($A86,Ridership[[Agency]:[FY25 Ridership]],  4,  FALSE)</f>
        <v>129839</v>
      </c>
      <c r="T86">
        <f>VLOOKUP($A86,VRH[[Agency]:[FY25 Revenue Hours]],  3,  FALSE)</f>
        <v>61652</v>
      </c>
      <c r="U86">
        <f>VLOOKUP($A86,VRM[[Agency]:[FY25 Revenue Miles]],  3,  FALSE)</f>
        <v>1402170</v>
      </c>
      <c r="W86" s="455">
        <f t="shared" si="61"/>
        <v>2.1059981833517161</v>
      </c>
      <c r="X86" s="455">
        <f t="shared" si="62"/>
        <v>9.2598615003886831E-2</v>
      </c>
      <c r="Y86" s="456">
        <f t="shared" si="63"/>
        <v>81.113410757153048</v>
      </c>
      <c r="Z86" s="456">
        <f t="shared" si="64"/>
        <v>3.5664748211700434</v>
      </c>
      <c r="AA86" s="456">
        <f t="shared" si="65"/>
        <v>38.515422946880371</v>
      </c>
      <c r="AB86" s="466">
        <f t="shared" si="66"/>
        <v>0</v>
      </c>
      <c r="AC86" s="466">
        <f t="shared" si="67"/>
        <v>0</v>
      </c>
      <c r="AD86" s="466">
        <f t="shared" si="68"/>
        <v>0</v>
      </c>
      <c r="AE86" s="466">
        <f t="shared" si="69"/>
        <v>1</v>
      </c>
      <c r="AF86" s="960">
        <f t="shared" si="70"/>
        <v>0</v>
      </c>
      <c r="AG86" s="506">
        <f t="shared" si="71"/>
        <v>1</v>
      </c>
      <c r="AH86" s="452">
        <f t="shared" si="72"/>
        <v>0.12816752326581207</v>
      </c>
      <c r="AI86" s="502">
        <f t="shared" si="73"/>
        <v>0.14881222919532813</v>
      </c>
      <c r="AJ86" s="457">
        <f t="shared" si="74"/>
        <v>70133.923859565679</v>
      </c>
      <c r="AK86" s="980"/>
      <c r="AL86" s="912">
        <f t="shared" si="75"/>
        <v>1166842.2683179176</v>
      </c>
      <c r="AM86" s="918">
        <f>VLOOKUP(A86,'Allocation Calculations_FY25'!$B$9:$CA$48,78, FALSE)</f>
        <v>1179698</v>
      </c>
      <c r="AN86" s="501">
        <f t="shared" si="76"/>
        <v>-12855.731682082405</v>
      </c>
      <c r="AO86" s="919">
        <f t="shared" si="77"/>
        <v>-1.0897476881441187E-2</v>
      </c>
    </row>
    <row r="87" spans="1:41" ht="14.25" hidden="1">
      <c r="A87" s="521" t="s">
        <v>55</v>
      </c>
      <c r="B87" s="351">
        <v>0</v>
      </c>
      <c r="C87" s="352">
        <f>VLOOKUP($A87, OpCost[], 12, FALSE)</f>
        <v>55781</v>
      </c>
      <c r="D87" s="353">
        <f>VLOOKUP($A87, Ridership[], 12, FALSE)</f>
        <v>1336.6666666666667</v>
      </c>
      <c r="E87" s="353">
        <f>VLOOKUP($A87, VRHsizing[], 12, FALSE)</f>
        <v>355</v>
      </c>
      <c r="F87" s="353">
        <f>VLOOKUP($A87, VRMsizing[], 12, FALSE)</f>
        <v>4789.666666666667</v>
      </c>
      <c r="G87" s="354">
        <f t="shared" si="57"/>
        <v>1.2759580507031947E-3</v>
      </c>
      <c r="H87" s="354">
        <f t="shared" si="58"/>
        <v>1.2112293695505636E-3</v>
      </c>
      <c r="I87" s="355">
        <f t="shared" si="59"/>
        <v>1.2759580507031945E-3</v>
      </c>
      <c r="J87" s="356">
        <f>MIN(0.3*Rural!B87,Rural!I87*Assumptions!$E$29)</f>
        <v>0</v>
      </c>
      <c r="K87" s="356"/>
      <c r="L87" s="357">
        <f>I87*Assumptions!$E$29-Rural!J87</f>
        <v>10918.16246213034</v>
      </c>
      <c r="M87" s="334">
        <f t="shared" si="60"/>
        <v>1.2112293695505638E-3</v>
      </c>
      <c r="N87" s="325">
        <f>MIN(0.3*B87,M87*Assumptions!$E$29)</f>
        <v>0</v>
      </c>
      <c r="O87" s="325"/>
      <c r="P87" s="321">
        <f>M87*Assumptions!$E$29-N87</f>
        <v>10364.289820005173</v>
      </c>
      <c r="Q87" s="302"/>
      <c r="R87" s="450">
        <f>VLOOKUP($A87,OpCost[[Agency]:[FY25 Operating Cost Performance]],  4,  FALSE)</f>
        <v>111562</v>
      </c>
      <c r="S87">
        <f>VLOOKUP($A87,Ridership[[Agency]:[FY25 Ridership]],  4,  FALSE)</f>
        <v>4010</v>
      </c>
      <c r="T87">
        <f>VLOOKUP($A87,VRH[[Agency]:[FY25 Revenue Hours]],  3,  FALSE)</f>
        <v>1065</v>
      </c>
      <c r="U87">
        <f>VLOOKUP($A87,VRM[[Agency]:[FY25 Revenue Miles]],  3,  FALSE)</f>
        <v>0</v>
      </c>
      <c r="W87" s="944"/>
      <c r="X87" s="944"/>
      <c r="Y87" s="945"/>
      <c r="Z87" s="945"/>
      <c r="AA87" s="945"/>
      <c r="AB87" s="466">
        <f t="shared" si="66"/>
        <v>0</v>
      </c>
      <c r="AC87" s="466">
        <f t="shared" si="67"/>
        <v>0</v>
      </c>
      <c r="AD87" s="466">
        <f t="shared" si="68"/>
        <v>1</v>
      </c>
      <c r="AE87" s="466">
        <f t="shared" si="69"/>
        <v>1</v>
      </c>
      <c r="AF87" s="960">
        <f t="shared" si="70"/>
        <v>1</v>
      </c>
      <c r="AG87" s="506">
        <f t="shared" si="71"/>
        <v>3</v>
      </c>
      <c r="AH87" s="949">
        <v>0</v>
      </c>
      <c r="AI87" s="502">
        <f t="shared" si="73"/>
        <v>0</v>
      </c>
      <c r="AJ87" s="457">
        <f t="shared" si="74"/>
        <v>0</v>
      </c>
      <c r="AK87" s="980"/>
      <c r="AL87" s="912">
        <f t="shared" si="75"/>
        <v>0</v>
      </c>
      <c r="AM87" s="918">
        <v>0</v>
      </c>
      <c r="AN87" s="501">
        <f t="shared" si="76"/>
        <v>0</v>
      </c>
      <c r="AO87" s="954">
        <v>0</v>
      </c>
    </row>
    <row r="88" spans="1:41" ht="15" hidden="1" thickBot="1">
      <c r="A88" s="521" t="s">
        <v>35</v>
      </c>
      <c r="B88" s="351">
        <f>VLOOKUP($A88, 'Allocation Calculations_FY25'!$B$9:$C$48, 2, FALSE)</f>
        <v>2696243</v>
      </c>
      <c r="C88" s="379">
        <f>VLOOKUP($A88, OpCost[], 12, FALSE)</f>
        <v>2581407.6666666665</v>
      </c>
      <c r="D88" s="380">
        <f>VLOOKUP($A88, Ridership[], 12, FALSE)</f>
        <v>138858.66666666666</v>
      </c>
      <c r="E88" s="380">
        <f>VLOOKUP($A88, VRHsizing[], 12, FALSE)</f>
        <v>43673.333333333336</v>
      </c>
      <c r="F88" s="380">
        <f>VLOOKUP($A88, VRMsizing[], 12, FALSE)</f>
        <v>438247.66666666669</v>
      </c>
      <c r="G88" s="354">
        <f t="shared" si="57"/>
        <v>8.3159518877574903E-2</v>
      </c>
      <c r="H88" s="354">
        <f t="shared" si="58"/>
        <v>8.180190098063983E-2</v>
      </c>
      <c r="I88" s="355">
        <f t="shared" si="59"/>
        <v>8.3159518877574889E-2</v>
      </c>
      <c r="J88" s="381">
        <f>MIN(0.3*Rural!B88,Rural!I88*Assumptions!$E$29)</f>
        <v>711582.27880421048</v>
      </c>
      <c r="K88" s="381"/>
      <c r="L88" s="382">
        <f>I88*Assumptions!$E$29-Rural!J88</f>
        <v>0</v>
      </c>
      <c r="M88" s="335">
        <f t="shared" si="60"/>
        <v>8.1801900980639844E-2</v>
      </c>
      <c r="N88" s="332">
        <f>MIN(0.3*B88,M88*Assumptions!$E$29)</f>
        <v>699965.36651460698</v>
      </c>
      <c r="O88" s="332"/>
      <c r="P88" s="333">
        <f>M88*Assumptions!$E$29-N88</f>
        <v>0</v>
      </c>
      <c r="Q88" s="302"/>
      <c r="R88" s="450">
        <f>VLOOKUP($A88,OpCost[[Agency]:[FY25 Operating Cost Performance]],  4,  FALSE)</f>
        <v>2701881</v>
      </c>
      <c r="S88">
        <f>VLOOKUP($A88,Ridership[[Agency]:[FY25 Ridership]],  4,  FALSE)</f>
        <v>162649</v>
      </c>
      <c r="T88">
        <f>VLOOKUP($A88,VRH[[Agency]:[FY25 Revenue Hours]],  3,  FALSE)</f>
        <v>46711</v>
      </c>
      <c r="U88">
        <f>VLOOKUP($A88,VRM[[Agency]:[FY25 Revenue Miles]],  3,  FALSE)</f>
        <v>440288</v>
      </c>
      <c r="W88" s="476">
        <f t="shared" si="61"/>
        <v>3.4820277878872212</v>
      </c>
      <c r="X88" s="476">
        <f t="shared" si="62"/>
        <v>0.36941501926012066</v>
      </c>
      <c r="Y88" s="477">
        <f t="shared" si="63"/>
        <v>57.842499625355913</v>
      </c>
      <c r="Z88" s="477">
        <f t="shared" si="64"/>
        <v>6.1366219383676137</v>
      </c>
      <c r="AA88" s="477">
        <f t="shared" si="65"/>
        <v>16.611728322953109</v>
      </c>
      <c r="AB88" s="478">
        <f t="shared" si="66"/>
        <v>0</v>
      </c>
      <c r="AC88" s="478">
        <f t="shared" si="67"/>
        <v>0</v>
      </c>
      <c r="AD88" s="478">
        <f t="shared" si="68"/>
        <v>1</v>
      </c>
      <c r="AE88" s="478">
        <f t="shared" si="69"/>
        <v>0</v>
      </c>
      <c r="AF88" s="532">
        <f t="shared" si="70"/>
        <v>0</v>
      </c>
      <c r="AG88" s="509">
        <f t="shared" si="71"/>
        <v>1</v>
      </c>
      <c r="AH88" s="484">
        <f t="shared" si="72"/>
        <v>8.1801900980639844E-2</v>
      </c>
      <c r="AI88" s="510">
        <f t="shared" si="73"/>
        <v>9.4978220122878987E-2</v>
      </c>
      <c r="AJ88" s="511">
        <f t="shared" si="74"/>
        <v>44762.418347162202</v>
      </c>
      <c r="AK88" s="982"/>
      <c r="AL88" s="937">
        <f t="shared" si="75"/>
        <v>744727.78486176918</v>
      </c>
      <c r="AM88" s="920">
        <f>VLOOKUP(A88,'Allocation Calculations_FY25'!$B$9:$CA$48,78, FALSE)</f>
        <v>760150</v>
      </c>
      <c r="AN88" s="512">
        <f t="shared" si="76"/>
        <v>-15422.215138230822</v>
      </c>
      <c r="AO88" s="921">
        <f t="shared" ref="AO88" si="78">AN88/AM88</f>
        <v>-2.0288384053451059E-2</v>
      </c>
    </row>
    <row r="89" spans="1:41" ht="15" hidden="1" thickBot="1">
      <c r="A89" s="363" t="s">
        <v>121</v>
      </c>
      <c r="B89" s="364" t="s">
        <v>173</v>
      </c>
      <c r="C89" s="365">
        <f t="shared" ref="C89:J89" si="79">SUM(C69:C88)</f>
        <v>32066372.000000004</v>
      </c>
      <c r="D89" s="366">
        <f t="shared" si="79"/>
        <v>1478260</v>
      </c>
      <c r="E89" s="366">
        <f t="shared" si="79"/>
        <v>469544.00000000006</v>
      </c>
      <c r="F89" s="366">
        <f t="shared" si="79"/>
        <v>8075128.6666666679</v>
      </c>
      <c r="G89" s="367">
        <f t="shared" si="79"/>
        <v>1.0000000000000002</v>
      </c>
      <c r="H89" s="367">
        <f t="shared" si="79"/>
        <v>0.99999999999999978</v>
      </c>
      <c r="I89" s="368">
        <f t="shared" si="79"/>
        <v>0.99999999999999989</v>
      </c>
      <c r="J89" s="383">
        <f t="shared" si="79"/>
        <v>8470195.4653176274</v>
      </c>
      <c r="K89" s="383"/>
      <c r="L89" s="378">
        <f>SUM(L69:L88)</f>
        <v>86639.499682370428</v>
      </c>
      <c r="M89" s="313">
        <f>SUM(M69:M88)</f>
        <v>1</v>
      </c>
      <c r="N89" s="326">
        <f>SUM(N69:N88)</f>
        <v>8470795.9951343108</v>
      </c>
      <c r="O89" s="326"/>
      <c r="P89" s="314">
        <f>SUM(P69:P88)</f>
        <v>86038.969865689898</v>
      </c>
      <c r="Q89" s="302"/>
      <c r="R89" s="453">
        <f>SUM(R69:R88)</f>
        <v>35536868</v>
      </c>
      <c r="S89" s="460">
        <f t="shared" ref="S89:U89" si="80">SUM(S69:S88)</f>
        <v>1662932</v>
      </c>
      <c r="T89" s="460">
        <f t="shared" si="80"/>
        <v>489098</v>
      </c>
      <c r="U89" s="460">
        <f t="shared" si="80"/>
        <v>8081835</v>
      </c>
      <c r="V89" s="461" t="s">
        <v>122</v>
      </c>
      <c r="W89" s="474">
        <f t="shared" si="61"/>
        <v>3.3999975465039727</v>
      </c>
      <c r="X89" s="474">
        <f t="shared" si="62"/>
        <v>0.20576168654767141</v>
      </c>
      <c r="Y89" s="475">
        <f t="shared" si="63"/>
        <v>72.657970386302949</v>
      </c>
      <c r="Z89" s="475">
        <f t="shared" si="64"/>
        <v>4.3971286223982551</v>
      </c>
      <c r="AA89" s="475">
        <f t="shared" si="65"/>
        <v>21.370006711038094</v>
      </c>
      <c r="AB89" s="479">
        <f>SUM(AB69:AB88)</f>
        <v>0</v>
      </c>
      <c r="AC89" s="479">
        <f t="shared" ref="AC89:AF89" si="81">SUM(AC69:AC88)</f>
        <v>0</v>
      </c>
      <c r="AD89" s="479">
        <f t="shared" si="81"/>
        <v>9</v>
      </c>
      <c r="AE89" s="479">
        <f t="shared" si="81"/>
        <v>9</v>
      </c>
      <c r="AF89" s="515">
        <f t="shared" si="81"/>
        <v>9</v>
      </c>
      <c r="AG89" s="507">
        <f t="shared" ref="AG89:AM89" si="82">SUM(AG69:AG88)</f>
        <v>27</v>
      </c>
      <c r="AH89" s="452">
        <f t="shared" si="82"/>
        <v>0.86127009828998524</v>
      </c>
      <c r="AI89" s="454">
        <f t="shared" si="82"/>
        <v>0.99999999999999978</v>
      </c>
      <c r="AJ89" s="948">
        <f t="shared" si="82"/>
        <v>471291.40016785316</v>
      </c>
      <c r="AK89" s="948"/>
      <c r="AL89" s="459">
        <f t="shared" si="82"/>
        <v>8942087.3953021653</v>
      </c>
      <c r="AM89" s="922">
        <f t="shared" si="82"/>
        <v>9539362</v>
      </c>
      <c r="AN89" s="923"/>
      <c r="AO89" s="924"/>
    </row>
    <row r="90" spans="1:41" ht="14.25" hidden="1">
      <c r="A90" s="301"/>
      <c r="B90" s="336"/>
      <c r="C90" s="526"/>
      <c r="D90" s="527"/>
      <c r="E90" s="527"/>
      <c r="F90" s="527"/>
      <c r="G90" s="527"/>
      <c r="H90" s="528"/>
      <c r="I90" s="528"/>
      <c r="J90" s="526"/>
      <c r="K90" s="526"/>
      <c r="L90" s="526"/>
      <c r="M90" s="529"/>
      <c r="N90" s="526"/>
      <c r="P90" s="530"/>
      <c r="Q90" s="302"/>
      <c r="V90" s="461" t="s">
        <v>124</v>
      </c>
      <c r="W90" s="458">
        <f>MEDIAN(W69:W88)</f>
        <v>3.4820277878872212</v>
      </c>
      <c r="X90" s="458">
        <f t="shared" ref="X90:AA90" si="83">MEDIAN(X69:X88)</f>
        <v>0.20596815649096037</v>
      </c>
      <c r="Y90" s="458">
        <f t="shared" si="83"/>
        <v>62.816602316602314</v>
      </c>
      <c r="Z90" s="458">
        <f t="shared" si="83"/>
        <v>3.9420525467613192</v>
      </c>
      <c r="AA90" s="458">
        <f t="shared" si="83"/>
        <v>17.97569284596262</v>
      </c>
    </row>
    <row r="91" spans="1:41" ht="14.25" hidden="1">
      <c r="A91" s="375"/>
      <c r="B91" s="336"/>
      <c r="C91" s="336"/>
      <c r="D91" s="336"/>
      <c r="E91" s="336"/>
      <c r="F91" s="336"/>
      <c r="G91" s="336"/>
      <c r="H91" s="336"/>
      <c r="I91" s="336"/>
      <c r="J91" s="336"/>
      <c r="K91" s="336"/>
      <c r="L91" s="336"/>
      <c r="M91" s="336"/>
      <c r="N91" s="336"/>
      <c r="Q91" s="302"/>
      <c r="V91" s="461" t="s">
        <v>126</v>
      </c>
      <c r="W91" s="458">
        <f>AVERAGE(W69:W88)</f>
        <v>3.7951901485468018</v>
      </c>
      <c r="X91" s="458">
        <f t="shared" ref="X91:AA91" si="84">AVERAGE(X69:X88)</f>
        <v>0.24592286276991723</v>
      </c>
      <c r="Y91" s="458">
        <f t="shared" si="84"/>
        <v>68.946573074240121</v>
      </c>
      <c r="Z91" s="458">
        <f t="shared" si="84"/>
        <v>4.3900500806161489</v>
      </c>
      <c r="AA91" s="458">
        <f t="shared" si="84"/>
        <v>20.344612492490551</v>
      </c>
    </row>
    <row r="92" spans="1:41" hidden="1">
      <c r="V92" s="462" t="s">
        <v>198</v>
      </c>
      <c r="W92" s="458">
        <f>PERCENTILE(W69:W88,$AC92)</f>
        <v>3.6549959092582043</v>
      </c>
      <c r="X92" s="458">
        <f>PERCENTILE(X69:X88,$AC92)</f>
        <v>0.20919524550077032</v>
      </c>
      <c r="Y92" s="458">
        <f>PERCENTILE(Y69:Y88,(1-$AC92))</f>
        <v>60.96123368527482</v>
      </c>
      <c r="Z92" s="458">
        <f>PERCENTILE(Z69:Z88,(1-$AC92))</f>
        <v>3.6576116733468163</v>
      </c>
      <c r="AA92" s="458">
        <f>PERCENTILE(AA69:AA88,(1-$AC92))</f>
        <v>16.391475713245956</v>
      </c>
      <c r="AB92" s="480" t="s">
        <v>151</v>
      </c>
      <c r="AC92" s="531">
        <f>V7</f>
        <v>0.6</v>
      </c>
      <c r="AD92" s="237" t="s">
        <v>152</v>
      </c>
    </row>
    <row r="93" spans="1:41" hidden="1">
      <c r="V93" s="533" t="s">
        <v>127</v>
      </c>
      <c r="W93" s="469">
        <v>3.1082858660126309</v>
      </c>
      <c r="X93" s="469">
        <v>0.20635524405463498</v>
      </c>
      <c r="Y93" s="470">
        <v>55.061574406323651</v>
      </c>
      <c r="Z93" s="470">
        <v>3.5012670287300849</v>
      </c>
      <c r="AA93" s="470">
        <v>19.840487117333982</v>
      </c>
    </row>
    <row r="105" spans="1:1">
      <c r="A105" s="237" t="s">
        <v>78</v>
      </c>
    </row>
    <row r="106" spans="1:1">
      <c r="A106" s="237" t="s">
        <v>79</v>
      </c>
    </row>
  </sheetData>
  <sheetProtection algorithmName="SHA-512" hashValue="xLTErrwBtqvRvq7pCIUO2kEEwzRhsH1Cqm1909KQSw9MJPAd1zgE4Ch54y4I+zUQ0XW5I7x8InnDaatm2L/bMA==" saltValue="m/cutr5qpuA9rCBMWG3MhA==" spinCount="100000" sheet="1" objects="1" scenarios="1"/>
  <mergeCells count="13">
    <mergeCell ref="B39:H39"/>
    <mergeCell ref="I39:L39"/>
    <mergeCell ref="M39:P39"/>
    <mergeCell ref="B67:H67"/>
    <mergeCell ref="I67:L67"/>
    <mergeCell ref="M67:P67"/>
    <mergeCell ref="M1:P1"/>
    <mergeCell ref="M6:P6"/>
    <mergeCell ref="I7:L7"/>
    <mergeCell ref="M7:P7"/>
    <mergeCell ref="B11:H11"/>
    <mergeCell ref="I11:L11"/>
    <mergeCell ref="M11:P11"/>
  </mergeCells>
  <conditionalFormatting sqref="Q9">
    <cfRule type="cellIs" dxfId="59" priority="38" operator="notEqual">
      <formula>1</formula>
    </cfRule>
  </conditionalFormatting>
  <conditionalFormatting sqref="Q10">
    <cfRule type="expression" dxfId="58" priority="39">
      <formula>$Q$9&lt;&gt; 100%</formula>
    </cfRule>
  </conditionalFormatting>
  <conditionalFormatting sqref="R8">
    <cfRule type="expression" dxfId="57" priority="41">
      <formula>$Q$9&lt;&gt; 100%</formula>
    </cfRule>
  </conditionalFormatting>
  <conditionalFormatting sqref="V7">
    <cfRule type="expression" dxfId="56" priority="14">
      <formula>$V$6="PERCENTILE"</formula>
    </cfRule>
  </conditionalFormatting>
  <conditionalFormatting sqref="W7">
    <cfRule type="expression" dxfId="55" priority="15">
      <formula>$V$6="PERCENTILE"</formula>
    </cfRule>
  </conditionalFormatting>
  <conditionalFormatting sqref="W13:W33">
    <cfRule type="expression" dxfId="54" priority="37">
      <formula>"&gt;$W$21"</formula>
    </cfRule>
  </conditionalFormatting>
  <conditionalFormatting sqref="W41:W61">
    <cfRule type="expression" dxfId="53" priority="31">
      <formula>"&gt;$W$21"</formula>
    </cfRule>
  </conditionalFormatting>
  <conditionalFormatting sqref="W69:W89">
    <cfRule type="expression" dxfId="52" priority="25">
      <formula>"&gt;$W$21"</formula>
    </cfRule>
  </conditionalFormatting>
  <conditionalFormatting sqref="W10:AA10">
    <cfRule type="cellIs" dxfId="51" priority="20" operator="equal">
      <formula>"No"</formula>
    </cfRule>
  </conditionalFormatting>
  <conditionalFormatting sqref="AB13:AF33">
    <cfRule type="cellIs" dxfId="50" priority="3" operator="equal">
      <formula>1</formula>
    </cfRule>
  </conditionalFormatting>
  <conditionalFormatting sqref="AB41:AF61">
    <cfRule type="cellIs" dxfId="49" priority="2" operator="equal">
      <formula>1</formula>
    </cfRule>
  </conditionalFormatting>
  <conditionalFormatting sqref="AB69:AF89">
    <cfRule type="cellIs" dxfId="48" priority="1" operator="equal">
      <formula>1</formula>
    </cfRule>
  </conditionalFormatting>
  <conditionalFormatting sqref="AC1">
    <cfRule type="expression" dxfId="47" priority="113">
      <formula>$W10="No"</formula>
    </cfRule>
  </conditionalFormatting>
  <conditionalFormatting sqref="AC2">
    <cfRule type="expression" dxfId="46" priority="117">
      <formula>$X10="No"</formula>
    </cfRule>
  </conditionalFormatting>
  <conditionalFormatting sqref="AC3">
    <cfRule type="expression" dxfId="45" priority="121">
      <formula>$Y10="No"</formula>
    </cfRule>
  </conditionalFormatting>
  <conditionalFormatting sqref="AC4">
    <cfRule type="expression" dxfId="44" priority="125">
      <formula>$Z10="No"</formula>
    </cfRule>
  </conditionalFormatting>
  <conditionalFormatting sqref="AC5">
    <cfRule type="expression" dxfId="43" priority="126">
      <formula>$AA10="No"</formula>
    </cfRule>
  </conditionalFormatting>
  <conditionalFormatting sqref="AG13:AG32">
    <cfRule type="cellIs" dxfId="42" priority="13" operator="equal">
      <formula>0</formula>
    </cfRule>
  </conditionalFormatting>
  <conditionalFormatting sqref="AG41:AG60">
    <cfRule type="cellIs" dxfId="41" priority="6" operator="equal">
      <formula>0</formula>
    </cfRule>
  </conditionalFormatting>
  <conditionalFormatting sqref="AG69:AG88">
    <cfRule type="cellIs" dxfId="40" priority="4" operator="equal">
      <formula>0</formula>
    </cfRule>
  </conditionalFormatting>
  <conditionalFormatting sqref="AM13:AM32">
    <cfRule type="expression" dxfId="39" priority="36">
      <formula>"&gt;$W$21"</formula>
    </cfRule>
  </conditionalFormatting>
  <conditionalFormatting sqref="AM41:AM60">
    <cfRule type="expression" dxfId="38" priority="12">
      <formula>"&gt;$W$21"</formula>
    </cfRule>
  </conditionalFormatting>
  <conditionalFormatting sqref="AM69:AM88">
    <cfRule type="expression" dxfId="37" priority="10">
      <formula>"&gt;$W$21"</formula>
    </cfRule>
  </conditionalFormatting>
  <conditionalFormatting sqref="AP13:AP32">
    <cfRule type="cellIs" dxfId="36" priority="9" operator="lessThan">
      <formula>-0.05</formula>
    </cfRule>
  </conditionalFormatting>
  <conditionalFormatting sqref="AP41:AP60">
    <cfRule type="cellIs" dxfId="35" priority="8" operator="lessThan">
      <formula>-0.05</formula>
    </cfRule>
  </conditionalFormatting>
  <dataValidations count="2">
    <dataValidation type="list" allowBlank="1" showInputMessage="1" showErrorMessage="1" sqref="V6" xr:uid="{4FC2FF81-FC8B-458E-84A1-8D1913D36CCB}">
      <formula1>$V$33:$V$37</formula1>
    </dataValidation>
    <dataValidation type="list" allowBlank="1" showInputMessage="1" showErrorMessage="1" sqref="W10:AA10" xr:uid="{68CEAF15-C8FC-4DE1-BC8A-199661DB6B52}">
      <formula1>$A$105:$A$106</formula1>
    </dataValidation>
  </dataValidations>
  <pageMargins left="0.2" right="0.2" top="0.75" bottom="0.75" header="0.3" footer="0.3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FC31E-F89F-436C-B26C-B4A5ABCEA5D8}">
  <dimension ref="A1:D22"/>
  <sheetViews>
    <sheetView workbookViewId="0">
      <selection activeCell="F1" sqref="A1:F1048576"/>
    </sheetView>
  </sheetViews>
  <sheetFormatPr defaultColWidth="8.7109375" defaultRowHeight="15"/>
  <cols>
    <col min="1" max="1" width="48.85546875" style="485" customWidth="1"/>
    <col min="2" max="3" width="17.140625" style="485" customWidth="1"/>
    <col min="4" max="4" width="15.140625" style="485" customWidth="1"/>
    <col min="5" max="16384" width="8.7109375" style="485"/>
  </cols>
  <sheetData>
    <row r="1" spans="1:4">
      <c r="B1" s="1174" t="s">
        <v>204</v>
      </c>
      <c r="C1" s="1174"/>
      <c r="D1" s="486" t="s">
        <v>205</v>
      </c>
    </row>
    <row r="2" spans="1:4" ht="18.75">
      <c r="A2" s="487" t="s">
        <v>206</v>
      </c>
      <c r="B2" s="488" t="s">
        <v>183</v>
      </c>
      <c r="C2" s="488" t="s">
        <v>174</v>
      </c>
      <c r="D2" s="489" t="s">
        <v>171</v>
      </c>
    </row>
    <row r="3" spans="1:4" ht="18.75">
      <c r="A3" s="490" t="s">
        <v>42</v>
      </c>
      <c r="B3" s="491">
        <v>36797144</v>
      </c>
      <c r="C3" s="492">
        <v>42920065</v>
      </c>
      <c r="D3" s="493">
        <v>46807316</v>
      </c>
    </row>
    <row r="4" spans="1:4" ht="18.75">
      <c r="A4" s="490" t="s">
        <v>49</v>
      </c>
      <c r="B4" s="491">
        <v>44414321</v>
      </c>
      <c r="C4" s="492">
        <v>46234765</v>
      </c>
      <c r="D4" s="494">
        <v>52986458</v>
      </c>
    </row>
    <row r="5" spans="1:4" ht="18.75">
      <c r="A5" s="490" t="s">
        <v>39</v>
      </c>
      <c r="B5" s="491">
        <v>48410504</v>
      </c>
      <c r="C5" s="495">
        <v>52660703</v>
      </c>
      <c r="D5" s="493">
        <v>46983226</v>
      </c>
    </row>
    <row r="6" spans="1:4" ht="18.75">
      <c r="A6" s="490" t="s">
        <v>50</v>
      </c>
      <c r="B6" s="491">
        <v>54836885</v>
      </c>
      <c r="C6" s="495">
        <v>62378057</v>
      </c>
      <c r="D6" s="494">
        <v>40392918</v>
      </c>
    </row>
    <row r="7" spans="1:4" ht="18.75">
      <c r="A7" s="490" t="s">
        <v>47</v>
      </c>
      <c r="B7" s="491">
        <v>10493813</v>
      </c>
      <c r="C7" s="495">
        <v>12218923</v>
      </c>
      <c r="D7" s="493">
        <v>13087755</v>
      </c>
    </row>
    <row r="8" spans="1:4" ht="18.75">
      <c r="A8" s="490" t="s">
        <v>46</v>
      </c>
      <c r="B8" s="491">
        <v>5273946</v>
      </c>
      <c r="C8" s="492">
        <v>6139056</v>
      </c>
      <c r="D8" s="493">
        <v>6570111</v>
      </c>
    </row>
    <row r="9" spans="1:4" ht="18.75">
      <c r="A9" s="490" t="s">
        <v>33</v>
      </c>
      <c r="B9" s="491">
        <v>7797386</v>
      </c>
      <c r="C9" s="496">
        <v>10505471</v>
      </c>
      <c r="D9" s="493">
        <v>12576972</v>
      </c>
    </row>
    <row r="10" spans="1:4" ht="18.75">
      <c r="A10" s="490" t="s">
        <v>40</v>
      </c>
      <c r="B10" s="491">
        <v>7602285</v>
      </c>
      <c r="C10" s="492">
        <v>8262231</v>
      </c>
      <c r="D10" s="494">
        <v>11919375</v>
      </c>
    </row>
    <row r="11" spans="1:4" ht="18.75">
      <c r="A11" s="490" t="s">
        <v>48</v>
      </c>
      <c r="B11" s="492">
        <v>2558100</v>
      </c>
      <c r="C11" s="492">
        <v>2776562</v>
      </c>
      <c r="D11" s="494">
        <v>2823385</v>
      </c>
    </row>
    <row r="12" spans="1:4" ht="18.75">
      <c r="A12" s="490" t="s">
        <v>29</v>
      </c>
      <c r="B12" s="497"/>
      <c r="C12" s="497"/>
      <c r="D12" s="498"/>
    </row>
    <row r="13" spans="1:4" ht="18.75">
      <c r="A13" s="934" t="s">
        <v>207</v>
      </c>
      <c r="B13" s="932" t="s">
        <v>183</v>
      </c>
      <c r="C13" s="932" t="s">
        <v>174</v>
      </c>
      <c r="D13" s="933" t="s">
        <v>171</v>
      </c>
    </row>
    <row r="14" spans="1:4" ht="18.75">
      <c r="A14" s="925" t="s">
        <v>32</v>
      </c>
      <c r="B14" s="926"/>
      <c r="C14" s="926"/>
      <c r="D14" s="926"/>
    </row>
    <row r="15" spans="1:4" ht="18.75">
      <c r="A15" s="925" t="s">
        <v>37</v>
      </c>
      <c r="B15" s="926"/>
      <c r="C15" s="926"/>
      <c r="D15" s="926"/>
    </row>
    <row r="16" spans="1:4" ht="18.75">
      <c r="A16" s="925" t="s">
        <v>27</v>
      </c>
      <c r="B16" s="936"/>
      <c r="C16" s="936"/>
      <c r="D16" s="936"/>
    </row>
    <row r="17" spans="1:4" ht="18.75">
      <c r="A17" s="925" t="s">
        <v>56</v>
      </c>
      <c r="B17" s="930">
        <v>6571617</v>
      </c>
      <c r="C17" s="931">
        <v>7076692</v>
      </c>
      <c r="D17" s="928">
        <v>8920281</v>
      </c>
    </row>
    <row r="18" spans="1:4" ht="18.75">
      <c r="A18" s="925" t="s">
        <v>26</v>
      </c>
      <c r="B18" s="936"/>
      <c r="C18" s="936"/>
      <c r="D18" s="936"/>
    </row>
    <row r="19" spans="1:4" ht="18.75">
      <c r="A19" s="483" t="s">
        <v>28</v>
      </c>
      <c r="B19" s="930">
        <v>3218771</v>
      </c>
      <c r="C19" s="929">
        <v>3309985</v>
      </c>
      <c r="D19" s="927">
        <v>5061437</v>
      </c>
    </row>
    <row r="20" spans="1:4" ht="18.75">
      <c r="A20" s="925" t="s">
        <v>61</v>
      </c>
      <c r="B20" s="930">
        <v>3497142</v>
      </c>
      <c r="C20" s="935">
        <v>4107259</v>
      </c>
      <c r="D20" s="927">
        <v>4479235</v>
      </c>
    </row>
    <row r="21" spans="1:4" ht="18.75">
      <c r="A21" s="925" t="s">
        <v>38</v>
      </c>
      <c r="B21" s="930">
        <v>2306018</v>
      </c>
      <c r="C21" s="929">
        <v>2182920</v>
      </c>
      <c r="D21" s="928">
        <v>2541731</v>
      </c>
    </row>
    <row r="22" spans="1:4" ht="18.75">
      <c r="A22" s="925" t="s">
        <v>25</v>
      </c>
      <c r="B22" s="936"/>
      <c r="C22" s="936"/>
      <c r="D22" s="936"/>
    </row>
  </sheetData>
  <mergeCells count="1">
    <mergeCell ref="B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4C5D-D9E2-4F81-ACAE-2D5DE64D7BA1}">
  <sheetPr>
    <pageSetUpPr fitToPage="1"/>
  </sheetPr>
  <dimension ref="A1:X51"/>
  <sheetViews>
    <sheetView zoomScale="60" zoomScaleNormal="60" workbookViewId="0">
      <selection activeCell="F1" sqref="A1:F1048576"/>
    </sheetView>
  </sheetViews>
  <sheetFormatPr defaultColWidth="9.28515625" defaultRowHeight="14.25"/>
  <cols>
    <col min="1" max="1" width="46.7109375" style="19" bestFit="1" customWidth="1"/>
    <col min="2" max="2" width="20.85546875" style="19" customWidth="1"/>
    <col min="3" max="5" width="18.7109375" style="22" bestFit="1" customWidth="1"/>
    <col min="6" max="6" width="18.7109375" style="19" bestFit="1" customWidth="1"/>
    <col min="7" max="7" width="21.85546875" style="19" bestFit="1" customWidth="1"/>
    <col min="8" max="8" width="18.7109375" style="19" customWidth="1"/>
    <col min="9" max="9" width="18.7109375" style="165" customWidth="1"/>
    <col min="10" max="10" width="18.5703125" style="165" customWidth="1"/>
    <col min="11" max="11" width="16.140625" style="165" customWidth="1"/>
    <col min="12" max="12" width="17.28515625" style="165" customWidth="1"/>
    <col min="13" max="13" width="12" style="165" customWidth="1"/>
    <col min="14" max="14" width="12.5703125" style="19" customWidth="1"/>
    <col min="15" max="15" width="18.5703125" style="19" bestFit="1" customWidth="1"/>
    <col min="16" max="16" width="11" style="19" bestFit="1" customWidth="1"/>
    <col min="17" max="17" width="9.28515625" style="19"/>
    <col min="18" max="18" width="9.140625" style="19" customWidth="1"/>
    <col min="19" max="19" width="46.7109375" style="19" bestFit="1" customWidth="1"/>
    <col min="20" max="21" width="12.140625" style="19" customWidth="1"/>
    <col min="22" max="22" width="11.85546875" style="19" bestFit="1" customWidth="1"/>
    <col min="23" max="23" width="11.7109375" style="19" customWidth="1"/>
    <col min="24" max="16384" width="9.28515625" style="19"/>
  </cols>
  <sheetData>
    <row r="1" spans="1:23" ht="28.5">
      <c r="A1" s="212" t="s">
        <v>206</v>
      </c>
      <c r="B1" s="213" t="s">
        <v>208</v>
      </c>
      <c r="C1" s="213" t="s">
        <v>209</v>
      </c>
      <c r="D1" s="213" t="s">
        <v>159</v>
      </c>
      <c r="E1" s="213" t="s">
        <v>139</v>
      </c>
      <c r="F1" s="213" t="s">
        <v>95</v>
      </c>
      <c r="G1" s="212" t="s">
        <v>210</v>
      </c>
      <c r="H1" s="215" t="s">
        <v>211</v>
      </c>
      <c r="I1" s="215" t="s">
        <v>212</v>
      </c>
      <c r="J1" s="869" t="s">
        <v>213</v>
      </c>
      <c r="K1" s="869" t="s">
        <v>214</v>
      </c>
      <c r="L1" s="869" t="s">
        <v>215</v>
      </c>
      <c r="M1" s="873" t="s">
        <v>216</v>
      </c>
      <c r="O1" s="203" t="s">
        <v>217</v>
      </c>
      <c r="P1" s="203" t="s">
        <v>218</v>
      </c>
      <c r="T1" s="23"/>
      <c r="U1" s="23"/>
    </row>
    <row r="2" spans="1:23" ht="15">
      <c r="A2" s="208" t="s">
        <v>23</v>
      </c>
      <c r="B2" s="200">
        <v>88190</v>
      </c>
      <c r="C2" s="200">
        <v>97489</v>
      </c>
      <c r="D2" s="200">
        <v>121717</v>
      </c>
      <c r="E2" s="200">
        <v>124617</v>
      </c>
      <c r="F2" s="200">
        <v>130218</v>
      </c>
      <c r="G2" s="201" t="s">
        <v>219</v>
      </c>
      <c r="H2">
        <v>1</v>
      </c>
      <c r="I2">
        <v>1</v>
      </c>
      <c r="J2" s="269">
        <f>AVERAGE(Ridership[[#This Row],[FY23 Ridership]:[FY25 Ridership]])</f>
        <v>125517.33333333333</v>
      </c>
      <c r="K2" s="269">
        <f>AVERAGE(Ridership[[#This Row],[FY22 Ridership2]:[FY24 Ridership]])</f>
        <v>114607.66666666667</v>
      </c>
      <c r="L2" s="269">
        <f>AVERAGE(Ridership[[#This Row],[FY21 Ridership]:[FY23 Ridership]])</f>
        <v>102465.33333333333</v>
      </c>
      <c r="M2" s="269" t="str">
        <f>VLOOKUP(Ridership[[#This Row],[Agency]],Assumptions!$B$35:$C$73, 2, FALSE)</f>
        <v>Rural</v>
      </c>
      <c r="O2" s="235">
        <f>Ridership[[#This Row],[FY25 Ridership]]-Ridership[[#This Row],[FY24 Ridership]]</f>
        <v>5601</v>
      </c>
      <c r="P2" s="236">
        <f>O2/Ridership[[#This Row],[FY24 Ridership]]</f>
        <v>4.4945713666674693E-2</v>
      </c>
      <c r="S2" s="238"/>
      <c r="T2" s="239"/>
      <c r="U2" s="239"/>
      <c r="V2" s="244"/>
      <c r="W2" s="239"/>
    </row>
    <row r="3" spans="1:23" ht="15">
      <c r="A3" s="208" t="s">
        <v>27</v>
      </c>
      <c r="B3" s="200">
        <v>14932</v>
      </c>
      <c r="C3" s="200">
        <v>35313</v>
      </c>
      <c r="D3" s="200">
        <v>43762</v>
      </c>
      <c r="E3" s="200">
        <v>42876</v>
      </c>
      <c r="F3" s="200">
        <v>43130</v>
      </c>
      <c r="G3" s="201" t="s">
        <v>219</v>
      </c>
      <c r="H3">
        <v>2</v>
      </c>
      <c r="I3">
        <v>5</v>
      </c>
      <c r="J3" s="269">
        <f>AVERAGE(Ridership[[#This Row],[FY23 Ridership]:[FY25 Ridership]])</f>
        <v>43256</v>
      </c>
      <c r="K3" s="269">
        <f>AVERAGE(Ridership[[#This Row],[FY22 Ridership2]:[FY24 Ridership]])</f>
        <v>40650.333333333336</v>
      </c>
      <c r="L3" s="269">
        <f>AVERAGE(Ridership[[#This Row],[FY21 Ridership]:[FY23 Ridership]])</f>
        <v>31335.666666666668</v>
      </c>
      <c r="M3" s="269" t="str">
        <f>VLOOKUP(Ridership[[#This Row],[Agency]],Assumptions!$B$35:$C$73, 2, FALSE)</f>
        <v>Small Urban</v>
      </c>
      <c r="O3" s="235">
        <f>Ridership[[#This Row],[FY25 Ridership]]-Ridership[[#This Row],[FY24 Ridership]]</f>
        <v>254</v>
      </c>
      <c r="P3" s="236">
        <f>O3/Ridership[[#This Row],[FY24 Ridership]]</f>
        <v>5.924060080231365E-3</v>
      </c>
      <c r="S3" s="238"/>
      <c r="T3" s="239"/>
      <c r="U3" s="239"/>
      <c r="V3" s="244"/>
      <c r="W3" s="239"/>
    </row>
    <row r="4" spans="1:23" ht="15">
      <c r="A4" s="208" t="s">
        <v>35</v>
      </c>
      <c r="B4" s="200">
        <v>118746</v>
      </c>
      <c r="C4" s="200">
        <v>135181</v>
      </c>
      <c r="D4" s="200">
        <v>162649</v>
      </c>
      <c r="E4" s="200">
        <v>177659</v>
      </c>
      <c r="F4" s="200">
        <v>180698</v>
      </c>
      <c r="G4" s="201" t="s">
        <v>219</v>
      </c>
      <c r="H4">
        <v>3</v>
      </c>
      <c r="I4">
        <v>13</v>
      </c>
      <c r="J4" s="269">
        <f>AVERAGE(Ridership[[#This Row],[FY23 Ridership]:[FY25 Ridership]])</f>
        <v>173668.66666666666</v>
      </c>
      <c r="K4" s="269">
        <f>AVERAGE(Ridership[[#This Row],[FY22 Ridership2]:[FY24 Ridership]])</f>
        <v>158496.33333333334</v>
      </c>
      <c r="L4" s="269">
        <f>AVERAGE(Ridership[[#This Row],[FY21 Ridership]:[FY23 Ridership]])</f>
        <v>138858.66666666666</v>
      </c>
      <c r="M4" s="269" t="str">
        <f>VLOOKUP(Ridership[[#This Row],[Agency]],Assumptions!$B$35:$C$73, 2, FALSE)</f>
        <v>Rural</v>
      </c>
      <c r="O4" s="235">
        <f>Ridership[[#This Row],[FY25 Ridership]]-Ridership[[#This Row],[FY24 Ridership]]</f>
        <v>3039</v>
      </c>
      <c r="P4" s="236">
        <f>O4/Ridership[[#This Row],[FY24 Ridership]]</f>
        <v>1.7105803815174014E-2</v>
      </c>
      <c r="S4" s="238"/>
      <c r="T4" s="239"/>
      <c r="U4" s="239"/>
      <c r="V4" s="244"/>
      <c r="W4" s="239"/>
    </row>
    <row r="5" spans="1:23" ht="15">
      <c r="A5" s="208" t="s">
        <v>45</v>
      </c>
      <c r="B5" s="200">
        <v>47469</v>
      </c>
      <c r="C5" s="200">
        <v>100658</v>
      </c>
      <c r="D5" s="200">
        <v>131743</v>
      </c>
      <c r="E5" s="200">
        <v>130896</v>
      </c>
      <c r="F5" s="200">
        <v>130587</v>
      </c>
      <c r="G5" s="201" t="s">
        <v>219</v>
      </c>
      <c r="H5">
        <v>4</v>
      </c>
      <c r="I5">
        <v>23</v>
      </c>
      <c r="J5" s="269">
        <f>AVERAGE(Ridership[[#This Row],[FY23 Ridership]:[FY25 Ridership]])</f>
        <v>131075.33333333334</v>
      </c>
      <c r="K5" s="269">
        <f>AVERAGE(Ridership[[#This Row],[FY22 Ridership2]:[FY24 Ridership]])</f>
        <v>121099</v>
      </c>
      <c r="L5" s="269">
        <f>AVERAGE(Ridership[[#This Row],[FY21 Ridership]:[FY23 Ridership]])</f>
        <v>93290</v>
      </c>
      <c r="M5" s="269" t="str">
        <f>VLOOKUP(Ridership[[#This Row],[Agency]],Assumptions!$B$35:$C$73, 2, FALSE)</f>
        <v>Rural</v>
      </c>
      <c r="O5" s="235">
        <f>Ridership[[#This Row],[FY25 Ridership]]-Ridership[[#This Row],[FY24 Ridership]]</f>
        <v>-309</v>
      </c>
      <c r="P5" s="236">
        <f>O5/Ridership[[#This Row],[FY24 Ridership]]</f>
        <v>-2.3606527319398607E-3</v>
      </c>
      <c r="S5" s="238"/>
      <c r="T5" s="239"/>
      <c r="U5" s="239"/>
      <c r="V5" s="244"/>
      <c r="W5" s="239"/>
    </row>
    <row r="6" spans="1:23" ht="15">
      <c r="A6" s="208" t="s">
        <v>58</v>
      </c>
      <c r="B6" s="200">
        <v>31626</v>
      </c>
      <c r="C6" s="200">
        <v>29128</v>
      </c>
      <c r="D6" s="200">
        <v>31171</v>
      </c>
      <c r="E6" s="200">
        <v>33235</v>
      </c>
      <c r="F6" s="200">
        <v>31857</v>
      </c>
      <c r="G6" s="201" t="s">
        <v>219</v>
      </c>
      <c r="H6">
        <v>5</v>
      </c>
      <c r="I6">
        <v>36</v>
      </c>
      <c r="J6" s="269">
        <f>AVERAGE(Ridership[[#This Row],[FY23 Ridership]:[FY25 Ridership]])</f>
        <v>32087.666666666668</v>
      </c>
      <c r="K6" s="269">
        <f>AVERAGE(Ridership[[#This Row],[FY22 Ridership2]:[FY24 Ridership]])</f>
        <v>31178</v>
      </c>
      <c r="L6" s="269">
        <f>AVERAGE(Ridership[[#This Row],[FY21 Ridership]:[FY23 Ridership]])</f>
        <v>30641.666666666668</v>
      </c>
      <c r="M6" s="269" t="str">
        <f>VLOOKUP(Ridership[[#This Row],[Agency]],Assumptions!$B$35:$C$73, 2, FALSE)</f>
        <v>Rural</v>
      </c>
      <c r="O6" s="235">
        <f>Ridership[[#This Row],[FY25 Ridership]]-Ridership[[#This Row],[FY24 Ridership]]</f>
        <v>-1378</v>
      </c>
      <c r="P6" s="236">
        <f>O6/Ridership[[#This Row],[FY24 Ridership]]</f>
        <v>-4.1462313825786072E-2</v>
      </c>
      <c r="S6" s="238"/>
      <c r="T6" s="239"/>
      <c r="U6" s="239"/>
      <c r="V6" s="244"/>
      <c r="W6" s="239"/>
    </row>
    <row r="7" spans="1:23" ht="15">
      <c r="A7" s="208" t="s">
        <v>26</v>
      </c>
      <c r="B7" s="227">
        <v>685129</v>
      </c>
      <c r="C7" s="227">
        <v>1236545</v>
      </c>
      <c r="D7" s="227">
        <v>1244671</v>
      </c>
      <c r="E7" s="227">
        <v>1476869</v>
      </c>
      <c r="F7" s="200">
        <v>1552117</v>
      </c>
      <c r="G7" s="201" t="s">
        <v>220</v>
      </c>
      <c r="H7">
        <v>6</v>
      </c>
      <c r="I7">
        <v>4</v>
      </c>
      <c r="J7" s="269">
        <f>AVERAGE(Ridership[[#This Row],[FY23 Ridership]:[FY25 Ridership]])</f>
        <v>1424552.3333333333</v>
      </c>
      <c r="K7" s="269">
        <f>AVERAGE(Ridership[[#This Row],[FY22 Ridership2]:[FY24 Ridership]])</f>
        <v>1319361.6666666667</v>
      </c>
      <c r="L7" s="269">
        <f>AVERAGE(Ridership[[#This Row],[FY21 Ridership]:[FY23 Ridership]])</f>
        <v>1055448.3333333333</v>
      </c>
      <c r="M7" s="269" t="str">
        <f>VLOOKUP(Ridership[[#This Row],[Agency]],Assumptions!$B$35:$C$73, 2, FALSE)</f>
        <v>Small Urban</v>
      </c>
      <c r="O7" s="235">
        <f>Ridership[[#This Row],[FY25 Ridership]]-Ridership[[#This Row],[FY24 Ridership]]</f>
        <v>75248</v>
      </c>
      <c r="P7" s="236">
        <f>O7/Ridership[[#This Row],[FY24 Ridership]]</f>
        <v>5.0951032217481713E-2</v>
      </c>
      <c r="S7" s="238"/>
      <c r="T7" s="239"/>
      <c r="U7" s="239"/>
      <c r="V7" s="244"/>
      <c r="W7" s="239"/>
    </row>
    <row r="8" spans="1:23" ht="15">
      <c r="A8" s="208" t="s">
        <v>37</v>
      </c>
      <c r="B8" s="202">
        <v>142040</v>
      </c>
      <c r="C8" s="202">
        <v>179874</v>
      </c>
      <c r="D8" s="202">
        <v>288349</v>
      </c>
      <c r="E8" s="202">
        <v>332441</v>
      </c>
      <c r="F8" s="200">
        <v>323706</v>
      </c>
      <c r="G8" s="201" t="s">
        <v>221</v>
      </c>
      <c r="H8">
        <v>7</v>
      </c>
      <c r="I8">
        <v>15</v>
      </c>
      <c r="J8" s="269">
        <f>AVERAGE(Ridership[[#This Row],[FY23 Ridership]:[FY25 Ridership]])</f>
        <v>314832</v>
      </c>
      <c r="K8" s="269">
        <f>AVERAGE(Ridership[[#This Row],[FY22 Ridership2]:[FY24 Ridership]])</f>
        <v>266888</v>
      </c>
      <c r="L8" s="269">
        <f>AVERAGE(Ridership[[#This Row],[FY21 Ridership]:[FY23 Ridership]])</f>
        <v>203421</v>
      </c>
      <c r="M8" s="269" t="str">
        <f>VLOOKUP(Ridership[[#This Row],[Agency]],Assumptions!$B$35:$C$73, 2, FALSE)</f>
        <v>Small Urban</v>
      </c>
      <c r="O8" s="235">
        <f>Ridership[[#This Row],[FY25 Ridership]]-Ridership[[#This Row],[FY24 Ridership]]</f>
        <v>-8735</v>
      </c>
      <c r="P8" s="236">
        <f>O8/Ridership[[#This Row],[FY24 Ridership]]</f>
        <v>-2.6275339082724454E-2</v>
      </c>
      <c r="S8" s="238"/>
      <c r="T8" s="239"/>
      <c r="U8" s="239"/>
      <c r="V8" s="244"/>
      <c r="W8" s="239"/>
    </row>
    <row r="9" spans="1:23" ht="15">
      <c r="A9" s="208" t="s">
        <v>31</v>
      </c>
      <c r="B9" s="202">
        <v>108658</v>
      </c>
      <c r="C9" s="202">
        <v>75266</v>
      </c>
      <c r="D9" s="202">
        <v>75077</v>
      </c>
      <c r="E9" s="202">
        <v>77878</v>
      </c>
      <c r="F9" s="200">
        <v>89631</v>
      </c>
      <c r="G9" s="201" t="s">
        <v>222</v>
      </c>
      <c r="H9">
        <v>8</v>
      </c>
      <c r="I9">
        <v>9</v>
      </c>
      <c r="J9" s="269">
        <f>AVERAGE(Ridership[[#This Row],[FY23 Ridership]:[FY25 Ridership]])</f>
        <v>80862</v>
      </c>
      <c r="K9" s="269">
        <f>AVERAGE(Ridership[[#This Row],[FY22 Ridership2]:[FY24 Ridership]])</f>
        <v>76073.666666666672</v>
      </c>
      <c r="L9" s="269">
        <f>AVERAGE(Ridership[[#This Row],[FY21 Ridership]:[FY23 Ridership]])</f>
        <v>86333.666666666672</v>
      </c>
      <c r="M9" s="269" t="str">
        <f>VLOOKUP(Ridership[[#This Row],[Agency]],Assumptions!$B$35:$C$73, 2, FALSE)</f>
        <v>Rural</v>
      </c>
      <c r="O9" s="235">
        <f>Ridership[[#This Row],[FY25 Ridership]]-Ridership[[#This Row],[FY24 Ridership]]</f>
        <v>11753</v>
      </c>
      <c r="P9" s="236">
        <f>O9/Ridership[[#This Row],[FY24 Ridership]]</f>
        <v>0.15091553455404608</v>
      </c>
      <c r="S9" s="238"/>
      <c r="T9" s="239"/>
      <c r="U9" s="239"/>
      <c r="V9" s="244"/>
      <c r="W9" s="239"/>
    </row>
    <row r="10" spans="1:23" ht="15">
      <c r="A10" s="208" t="s">
        <v>41</v>
      </c>
      <c r="B10" s="202">
        <v>4105</v>
      </c>
      <c r="C10" s="202">
        <v>5437</v>
      </c>
      <c r="D10" s="202">
        <v>10861</v>
      </c>
      <c r="E10" s="202">
        <v>11821</v>
      </c>
      <c r="F10" s="200">
        <v>11743</v>
      </c>
      <c r="G10" s="201" t="s">
        <v>222</v>
      </c>
      <c r="H10">
        <v>9</v>
      </c>
      <c r="I10">
        <v>19</v>
      </c>
      <c r="J10" s="269">
        <f>AVERAGE(Ridership[[#This Row],[FY23 Ridership]:[FY25 Ridership]])</f>
        <v>11475</v>
      </c>
      <c r="K10" s="269">
        <f>AVERAGE(Ridership[[#This Row],[FY22 Ridership2]:[FY24 Ridership]])</f>
        <v>9373</v>
      </c>
      <c r="L10" s="269">
        <f>AVERAGE(Ridership[[#This Row],[FY21 Ridership]:[FY23 Ridership]])</f>
        <v>6801</v>
      </c>
      <c r="M10" s="269" t="str">
        <f>VLOOKUP(Ridership[[#This Row],[Agency]],Assumptions!$B$35:$C$73, 2, FALSE)</f>
        <v>Rural</v>
      </c>
      <c r="O10" s="235">
        <f>Ridership[[#This Row],[FY25 Ridership]]-Ridership[[#This Row],[FY24 Ridership]]</f>
        <v>-78</v>
      </c>
      <c r="P10" s="236">
        <f>O10/Ridership[[#This Row],[FY24 Ridership]]</f>
        <v>-6.5984265290584551E-3</v>
      </c>
      <c r="S10" s="238"/>
      <c r="T10" s="239"/>
      <c r="U10" s="239"/>
      <c r="V10" s="244"/>
      <c r="W10" s="239"/>
    </row>
    <row r="11" spans="1:23" ht="15">
      <c r="A11" s="208" t="s">
        <v>42</v>
      </c>
      <c r="B11" s="202">
        <v>6450801</v>
      </c>
      <c r="C11" s="202">
        <v>6381801</v>
      </c>
      <c r="D11" s="202">
        <v>7133773</v>
      </c>
      <c r="E11" s="202">
        <v>8574727</v>
      </c>
      <c r="F11" s="200">
        <v>9363208</v>
      </c>
      <c r="G11" s="201" t="s">
        <v>222</v>
      </c>
      <c r="H11">
        <v>10</v>
      </c>
      <c r="I11">
        <v>20</v>
      </c>
      <c r="J11" s="269">
        <f>AVERAGE(Ridership[[#This Row],[FY23 Ridership]:[FY25 Ridership]])</f>
        <v>8357236</v>
      </c>
      <c r="K11" s="269">
        <f>AVERAGE(Ridership[[#This Row],[FY22 Ridership2]:[FY24 Ridership]])</f>
        <v>7363433.666666667</v>
      </c>
      <c r="L11" s="269">
        <f>AVERAGE(Ridership[[#This Row],[FY21 Ridership]:[FY23 Ridership]])</f>
        <v>6655458.333333333</v>
      </c>
      <c r="M11" s="269" t="str">
        <f>VLOOKUP(Ridership[[#This Row],[Agency]],Assumptions!$B$35:$C$73, 2, FALSE)</f>
        <v>Large Urban</v>
      </c>
      <c r="O11" s="235">
        <f>Ridership[[#This Row],[FY25 Ridership]]-Ridership[[#This Row],[FY24 Ridership]]</f>
        <v>788481</v>
      </c>
      <c r="P11" s="236">
        <f>O11/Ridership[[#This Row],[FY24 Ridership]]</f>
        <v>9.1954064543395955E-2</v>
      </c>
      <c r="S11" s="238"/>
      <c r="T11" s="239"/>
      <c r="U11" s="239"/>
      <c r="V11" s="244"/>
      <c r="W11" s="239"/>
    </row>
    <row r="12" spans="1:23" ht="15">
      <c r="A12" s="208" t="s">
        <v>53</v>
      </c>
      <c r="B12" s="202">
        <v>51934</v>
      </c>
      <c r="C12" s="202">
        <v>63727</v>
      </c>
      <c r="D12" s="202">
        <v>91713</v>
      </c>
      <c r="E12" s="202">
        <v>101901</v>
      </c>
      <c r="F12" s="200">
        <v>98845</v>
      </c>
      <c r="G12" s="201" t="s">
        <v>222</v>
      </c>
      <c r="H12">
        <v>11</v>
      </c>
      <c r="I12">
        <v>31</v>
      </c>
      <c r="J12" s="269">
        <f>AVERAGE(Ridership[[#This Row],[FY23 Ridership]:[FY25 Ridership]])</f>
        <v>97486.333333333328</v>
      </c>
      <c r="K12" s="269">
        <f>AVERAGE(Ridership[[#This Row],[FY22 Ridership2]:[FY24 Ridership]])</f>
        <v>85780.333333333328</v>
      </c>
      <c r="L12" s="269">
        <f>AVERAGE(Ridership[[#This Row],[FY21 Ridership]:[FY23 Ridership]])</f>
        <v>69124.666666666672</v>
      </c>
      <c r="M12" s="269" t="str">
        <f>VLOOKUP(Ridership[[#This Row],[Agency]],Assumptions!$B$35:$C$73, 2, FALSE)</f>
        <v>Rural</v>
      </c>
      <c r="O12" s="235">
        <f>Ridership[[#This Row],[FY25 Ridership]]-Ridership[[#This Row],[FY24 Ridership]]</f>
        <v>-3056</v>
      </c>
      <c r="P12" s="236">
        <f>O12/Ridership[[#This Row],[FY24 Ridership]]</f>
        <v>-2.9989892150224236E-2</v>
      </c>
      <c r="S12" s="238"/>
      <c r="T12" s="239"/>
      <c r="U12" s="239"/>
      <c r="V12" s="244"/>
      <c r="W12" s="239"/>
    </row>
    <row r="13" spans="1:23" ht="15">
      <c r="A13" s="208" t="s">
        <v>59</v>
      </c>
      <c r="B13" s="202">
        <v>1358</v>
      </c>
      <c r="C13" s="202">
        <v>3001</v>
      </c>
      <c r="D13" s="202">
        <v>3145</v>
      </c>
      <c r="E13" s="202">
        <v>6243</v>
      </c>
      <c r="F13" s="200">
        <v>6249</v>
      </c>
      <c r="G13" s="201" t="s">
        <v>222</v>
      </c>
      <c r="H13">
        <v>12</v>
      </c>
      <c r="I13">
        <v>37</v>
      </c>
      <c r="J13" s="269">
        <f>AVERAGE(Ridership[[#This Row],[FY23 Ridership]:[FY25 Ridership]])</f>
        <v>5212.333333333333</v>
      </c>
      <c r="K13" s="269">
        <f>AVERAGE(Ridership[[#This Row],[FY22 Ridership2]:[FY24 Ridership]])</f>
        <v>4129.666666666667</v>
      </c>
      <c r="L13" s="269">
        <f>AVERAGE(Ridership[[#This Row],[FY21 Ridership]:[FY23 Ridership]])</f>
        <v>2501.3333333333335</v>
      </c>
      <c r="M13" s="269" t="str">
        <f>VLOOKUP(Ridership[[#This Row],[Agency]],Assumptions!$B$35:$C$73, 2, FALSE)</f>
        <v>Rural</v>
      </c>
      <c r="O13" s="235">
        <f>Ridership[[#This Row],[FY25 Ridership]]-Ridership[[#This Row],[FY24 Ridership]]</f>
        <v>6</v>
      </c>
      <c r="P13" s="236">
        <f>O13/Ridership[[#This Row],[FY24 Ridership]]</f>
        <v>9.6107640557424319E-4</v>
      </c>
      <c r="S13" s="238"/>
      <c r="T13" s="239"/>
      <c r="U13" s="239"/>
      <c r="V13" s="244"/>
      <c r="W13" s="239"/>
    </row>
    <row r="14" spans="1:23" ht="15">
      <c r="A14" s="208" t="s">
        <v>61</v>
      </c>
      <c r="B14" s="202">
        <v>1122301</v>
      </c>
      <c r="C14" s="202">
        <v>1544283</v>
      </c>
      <c r="D14" s="202">
        <v>1655082</v>
      </c>
      <c r="E14" s="202">
        <v>1423486</v>
      </c>
      <c r="F14" s="200">
        <v>1578514</v>
      </c>
      <c r="G14" s="201" t="s">
        <v>222</v>
      </c>
      <c r="H14">
        <v>13</v>
      </c>
      <c r="I14">
        <v>39</v>
      </c>
      <c r="J14" s="269">
        <f>AVERAGE(Ridership[[#This Row],[FY23 Ridership]:[FY25 Ridership]])</f>
        <v>1552360.6666666667</v>
      </c>
      <c r="K14" s="269">
        <f>AVERAGE(Ridership[[#This Row],[FY22 Ridership2]:[FY24 Ridership]])</f>
        <v>1540950.3333333333</v>
      </c>
      <c r="L14" s="269">
        <f>AVERAGE(Ridership[[#This Row],[FY21 Ridership]:[FY23 Ridership]])</f>
        <v>1440555.3333333333</v>
      </c>
      <c r="M14" s="269" t="str">
        <f>VLOOKUP(Ridership[[#This Row],[Agency]],Assumptions!$B$35:$C$73, 2, FALSE)</f>
        <v>Small Urban</v>
      </c>
      <c r="O14" s="235">
        <f>Ridership[[#This Row],[FY25 Ridership]]-Ridership[[#This Row],[FY24 Ridership]]</f>
        <v>155028</v>
      </c>
      <c r="P14" s="236">
        <f>O14/Ridership[[#This Row],[FY24 Ridership]]</f>
        <v>0.10890728816440766</v>
      </c>
      <c r="S14" s="238"/>
      <c r="T14" s="239"/>
      <c r="U14" s="239"/>
      <c r="V14" s="244"/>
      <c r="W14" s="239"/>
    </row>
    <row r="15" spans="1:23" ht="15">
      <c r="A15" s="208" t="s">
        <v>34</v>
      </c>
      <c r="B15" s="202">
        <v>220931</v>
      </c>
      <c r="C15" s="202">
        <v>228559</v>
      </c>
      <c r="D15" s="202">
        <v>235586</v>
      </c>
      <c r="E15" s="202">
        <v>259346</v>
      </c>
      <c r="F15" s="200">
        <v>242131</v>
      </c>
      <c r="G15" s="201" t="s">
        <v>223</v>
      </c>
      <c r="H15">
        <v>14</v>
      </c>
      <c r="I15">
        <v>12</v>
      </c>
      <c r="J15" s="269">
        <f>AVERAGE(Ridership[[#This Row],[FY23 Ridership]:[FY25 Ridership]])</f>
        <v>245687.66666666666</v>
      </c>
      <c r="K15" s="269">
        <f>AVERAGE(Ridership[[#This Row],[FY22 Ridership2]:[FY24 Ridership]])</f>
        <v>241163.66666666666</v>
      </c>
      <c r="L15" s="269">
        <f>AVERAGE(Ridership[[#This Row],[FY21 Ridership]:[FY23 Ridership]])</f>
        <v>228358.66666666666</v>
      </c>
      <c r="M15" s="269" t="str">
        <f>VLOOKUP(Ridership[[#This Row],[Agency]],Assumptions!$B$35:$C$73, 2, FALSE)</f>
        <v>Rural</v>
      </c>
      <c r="O15" s="235">
        <f>Ridership[[#This Row],[FY25 Ridership]]-Ridership[[#This Row],[FY24 Ridership]]</f>
        <v>-17215</v>
      </c>
      <c r="P15" s="236">
        <f>O15/Ridership[[#This Row],[FY24 Ridership]]</f>
        <v>-6.6378505934157464E-2</v>
      </c>
      <c r="S15" s="238"/>
      <c r="T15" s="239"/>
      <c r="U15" s="239"/>
      <c r="V15" s="244"/>
      <c r="W15" s="239"/>
    </row>
    <row r="16" spans="1:23" ht="15">
      <c r="A16" s="208" t="s">
        <v>36</v>
      </c>
      <c r="B16" s="202">
        <v>89042</v>
      </c>
      <c r="C16" s="202">
        <v>77681</v>
      </c>
      <c r="D16" s="202">
        <v>90145</v>
      </c>
      <c r="E16" s="202">
        <v>96178</v>
      </c>
      <c r="F16" s="200">
        <v>101678</v>
      </c>
      <c r="G16" s="201" t="s">
        <v>223</v>
      </c>
      <c r="H16">
        <v>15</v>
      </c>
      <c r="I16">
        <v>14</v>
      </c>
      <c r="J16" s="269">
        <f>AVERAGE(Ridership[[#This Row],[FY23 Ridership]:[FY25 Ridership]])</f>
        <v>96000.333333333328</v>
      </c>
      <c r="K16" s="269">
        <f>AVERAGE(Ridership[[#This Row],[FY22 Ridership2]:[FY24 Ridership]])</f>
        <v>88001.333333333328</v>
      </c>
      <c r="L16" s="269">
        <f>AVERAGE(Ridership[[#This Row],[FY21 Ridership]:[FY23 Ridership]])</f>
        <v>85622.666666666672</v>
      </c>
      <c r="M16" s="269" t="str">
        <f>VLOOKUP(Ridership[[#This Row],[Agency]],Assumptions!$B$35:$C$73, 2, FALSE)</f>
        <v>Rural</v>
      </c>
      <c r="O16" s="235">
        <f>Ridership[[#This Row],[FY25 Ridership]]-Ridership[[#This Row],[FY24 Ridership]]</f>
        <v>5500</v>
      </c>
      <c r="P16" s="236">
        <f>O16/Ridership[[#This Row],[FY24 Ridership]]</f>
        <v>5.7185634968495914E-2</v>
      </c>
      <c r="S16" s="238"/>
      <c r="T16" s="239"/>
      <c r="U16" s="239"/>
      <c r="V16" s="244"/>
      <c r="W16" s="239"/>
    </row>
    <row r="17" spans="1:24" ht="15">
      <c r="A17" s="208" t="s">
        <v>38</v>
      </c>
      <c r="B17" s="202">
        <v>468071</v>
      </c>
      <c r="C17" s="202">
        <v>445943</v>
      </c>
      <c r="D17" s="202">
        <v>519342</v>
      </c>
      <c r="E17" s="202">
        <v>585649</v>
      </c>
      <c r="F17" s="200">
        <v>704093</v>
      </c>
      <c r="G17" s="201" t="s">
        <v>223</v>
      </c>
      <c r="H17">
        <v>16</v>
      </c>
      <c r="I17">
        <v>16</v>
      </c>
      <c r="J17" s="269">
        <f>AVERAGE(Ridership[[#This Row],[FY23 Ridership]:[FY25 Ridership]])</f>
        <v>603028</v>
      </c>
      <c r="K17" s="269">
        <f>AVERAGE(Ridership[[#This Row],[FY22 Ridership2]:[FY24 Ridership]])</f>
        <v>516978</v>
      </c>
      <c r="L17" s="269">
        <f>AVERAGE(Ridership[[#This Row],[FY21 Ridership]:[FY23 Ridership]])</f>
        <v>477785.33333333331</v>
      </c>
      <c r="M17" s="269" t="str">
        <f>VLOOKUP(Ridership[[#This Row],[Agency]],Assumptions!$B$35:$C$73, 2, FALSE)</f>
        <v>Small Urban</v>
      </c>
      <c r="O17" s="235">
        <f>Ridership[[#This Row],[FY25 Ridership]]-Ridership[[#This Row],[FY24 Ridership]]</f>
        <v>118444</v>
      </c>
      <c r="P17" s="236">
        <f>O17/Ridership[[#This Row],[FY24 Ridership]]</f>
        <v>0.20224400622215696</v>
      </c>
      <c r="S17" s="238"/>
      <c r="T17" s="239"/>
      <c r="U17" s="239"/>
      <c r="V17" s="244"/>
      <c r="W17" s="239"/>
    </row>
    <row r="18" spans="1:24" ht="15">
      <c r="A18" s="208" t="s">
        <v>54</v>
      </c>
      <c r="B18" s="200">
        <v>14112</v>
      </c>
      <c r="C18" s="200">
        <v>14878</v>
      </c>
      <c r="D18" s="200">
        <v>14298</v>
      </c>
      <c r="E18" s="200">
        <v>15318</v>
      </c>
      <c r="F18" s="200">
        <v>15947</v>
      </c>
      <c r="G18" s="201" t="s">
        <v>223</v>
      </c>
      <c r="H18">
        <v>17</v>
      </c>
      <c r="I18">
        <v>32</v>
      </c>
      <c r="J18" s="269">
        <f>AVERAGE(Ridership[[#This Row],[FY23 Ridership]:[FY25 Ridership]])</f>
        <v>15187.666666666666</v>
      </c>
      <c r="K18" s="269">
        <f>AVERAGE(Ridership[[#This Row],[FY22 Ridership2]:[FY24 Ridership]])</f>
        <v>14831.333333333334</v>
      </c>
      <c r="L18" s="269">
        <f>AVERAGE(Ridership[[#This Row],[FY21 Ridership]:[FY23 Ridership]])</f>
        <v>14429.333333333334</v>
      </c>
      <c r="M18" s="269" t="str">
        <f>VLOOKUP(Ridership[[#This Row],[Agency]],Assumptions!$B$35:$C$73, 2, FALSE)</f>
        <v>Rural</v>
      </c>
      <c r="O18" s="235">
        <f>Ridership[[#This Row],[FY25 Ridership]]-Ridership[[#This Row],[FY24 Ridership]]</f>
        <v>629</v>
      </c>
      <c r="P18" s="236">
        <f>O18/Ridership[[#This Row],[FY24 Ridership]]</f>
        <v>4.1062801932367152E-2</v>
      </c>
      <c r="S18" s="238"/>
      <c r="T18" s="239"/>
      <c r="U18" s="239"/>
      <c r="V18" s="244"/>
      <c r="W18" s="239"/>
    </row>
    <row r="19" spans="1:24" ht="15">
      <c r="A19" s="208" t="s">
        <v>33</v>
      </c>
      <c r="B19" s="202">
        <v>335253</v>
      </c>
      <c r="C19" s="202">
        <v>421563</v>
      </c>
      <c r="D19" s="202">
        <v>527426</v>
      </c>
      <c r="E19" s="202">
        <v>690676</v>
      </c>
      <c r="F19" s="200">
        <v>819623</v>
      </c>
      <c r="G19" s="201" t="s">
        <v>224</v>
      </c>
      <c r="H19">
        <v>18</v>
      </c>
      <c r="I19">
        <v>11</v>
      </c>
      <c r="J19" s="269">
        <f>AVERAGE(Ridership[[#This Row],[FY23 Ridership]:[FY25 Ridership]])</f>
        <v>679241.66666666663</v>
      </c>
      <c r="K19" s="269">
        <f>AVERAGE(Ridership[[#This Row],[FY22 Ridership2]:[FY24 Ridership]])</f>
        <v>546555</v>
      </c>
      <c r="L19" s="269">
        <f>AVERAGE(Ridership[[#This Row],[FY21 Ridership]:[FY23 Ridership]])</f>
        <v>428080.66666666669</v>
      </c>
      <c r="M19" s="269" t="str">
        <f>VLOOKUP(Ridership[[#This Row],[Agency]],Assumptions!$B$35:$C$73, 2, FALSE)</f>
        <v>Large Urban</v>
      </c>
      <c r="O19" s="235">
        <f>Ridership[[#This Row],[FY25 Ridership]]-Ridership[[#This Row],[FY24 Ridership]]</f>
        <v>128947</v>
      </c>
      <c r="P19" s="236">
        <f>O19/Ridership[[#This Row],[FY24 Ridership]]</f>
        <v>0.18669680139457576</v>
      </c>
      <c r="S19" s="238"/>
      <c r="T19" s="239"/>
      <c r="U19" s="239"/>
      <c r="V19" s="244"/>
      <c r="W19" s="239"/>
    </row>
    <row r="20" spans="1:24" ht="15">
      <c r="A20" s="208" t="s">
        <v>46</v>
      </c>
      <c r="B20" s="202">
        <v>1423589</v>
      </c>
      <c r="C20" s="202">
        <v>1815957</v>
      </c>
      <c r="D20" s="202">
        <v>2106063</v>
      </c>
      <c r="E20" s="202">
        <v>2458738</v>
      </c>
      <c r="F20" s="200">
        <v>2640152</v>
      </c>
      <c r="G20" s="201" t="s">
        <v>224</v>
      </c>
      <c r="H20">
        <v>19</v>
      </c>
      <c r="I20">
        <v>24</v>
      </c>
      <c r="J20" s="269">
        <f>AVERAGE(Ridership[[#This Row],[FY23 Ridership]:[FY25 Ridership]])</f>
        <v>2401651</v>
      </c>
      <c r="K20" s="269">
        <f>AVERAGE(Ridership[[#This Row],[FY22 Ridership2]:[FY24 Ridership]])</f>
        <v>2126919.3333333335</v>
      </c>
      <c r="L20" s="269">
        <f>AVERAGE(Ridership[[#This Row],[FY21 Ridership]:[FY23 Ridership]])</f>
        <v>1781869.6666666667</v>
      </c>
      <c r="M20" s="269" t="str">
        <f>VLOOKUP(Ridership[[#This Row],[Agency]],Assumptions!$B$35:$C$73, 2, FALSE)</f>
        <v>Large Urban</v>
      </c>
      <c r="O20" s="235">
        <f>Ridership[[#This Row],[FY25 Ridership]]-Ridership[[#This Row],[FY24 Ridership]]</f>
        <v>181414</v>
      </c>
      <c r="P20" s="236">
        <f>O20/Ridership[[#This Row],[FY24 Ridership]]</f>
        <v>7.3783379929053039E-2</v>
      </c>
      <c r="S20" s="238"/>
      <c r="T20" s="239"/>
      <c r="U20" s="239"/>
      <c r="V20" s="244"/>
      <c r="W20" s="239"/>
    </row>
    <row r="21" spans="1:24" ht="15">
      <c r="A21" s="208" t="s">
        <v>47</v>
      </c>
      <c r="B21" s="202">
        <v>1530851</v>
      </c>
      <c r="C21" s="202">
        <v>3047077</v>
      </c>
      <c r="D21" s="202">
        <v>4580046</v>
      </c>
      <c r="E21" s="202">
        <v>5351810</v>
      </c>
      <c r="F21" s="200">
        <v>5758247</v>
      </c>
      <c r="G21" s="201" t="s">
        <v>224</v>
      </c>
      <c r="H21">
        <v>20</v>
      </c>
      <c r="I21">
        <v>25</v>
      </c>
      <c r="J21" s="269">
        <f>AVERAGE(Ridership[[#This Row],[FY23 Ridership]:[FY25 Ridership]])</f>
        <v>5230034.333333333</v>
      </c>
      <c r="K21" s="269">
        <f>AVERAGE(Ridership[[#This Row],[FY22 Ridership2]:[FY24 Ridership]])</f>
        <v>4326311</v>
      </c>
      <c r="L21" s="269">
        <f>AVERAGE(Ridership[[#This Row],[FY21 Ridership]:[FY23 Ridership]])</f>
        <v>3052658</v>
      </c>
      <c r="M21" s="269" t="str">
        <f>VLOOKUP(Ridership[[#This Row],[Agency]],Assumptions!$B$35:$C$73, 2, FALSE)</f>
        <v>Large Urban</v>
      </c>
      <c r="O21" s="235">
        <f>Ridership[[#This Row],[FY25 Ridership]]-Ridership[[#This Row],[FY24 Ridership]]</f>
        <v>406437</v>
      </c>
      <c r="P21" s="236">
        <f>O21/Ridership[[#This Row],[FY24 Ridership]]</f>
        <v>7.5943839560821486E-2</v>
      </c>
      <c r="S21" s="238"/>
      <c r="T21" s="239"/>
      <c r="U21" s="239"/>
      <c r="V21" s="244"/>
      <c r="W21" s="239"/>
    </row>
    <row r="22" spans="1:24" ht="15">
      <c r="A22" s="208" t="s">
        <v>48</v>
      </c>
      <c r="B22" s="202">
        <v>326881</v>
      </c>
      <c r="C22" s="202">
        <v>471899</v>
      </c>
      <c r="D22" s="202">
        <v>847511</v>
      </c>
      <c r="E22" s="202">
        <v>1002134</v>
      </c>
      <c r="F22" s="200">
        <v>949010</v>
      </c>
      <c r="G22" s="201" t="s">
        <v>224</v>
      </c>
      <c r="H22">
        <v>21</v>
      </c>
      <c r="I22">
        <v>26</v>
      </c>
      <c r="J22" s="269">
        <f>AVERAGE(Ridership[[#This Row],[FY23 Ridership]:[FY25 Ridership]])</f>
        <v>932885</v>
      </c>
      <c r="K22" s="269">
        <f>AVERAGE(Ridership[[#This Row],[FY22 Ridership2]:[FY24 Ridership]])</f>
        <v>773848</v>
      </c>
      <c r="L22" s="269">
        <f>AVERAGE(Ridership[[#This Row],[FY21 Ridership]:[FY23 Ridership]])</f>
        <v>548763.66666666663</v>
      </c>
      <c r="M22" s="269" t="str">
        <f>VLOOKUP(Ridership[[#This Row],[Agency]],Assumptions!$B$35:$C$73, 2, FALSE)</f>
        <v>Large Urban</v>
      </c>
      <c r="O22" s="235">
        <f>Ridership[[#This Row],[FY25 Ridership]]-Ridership[[#This Row],[FY24 Ridership]]</f>
        <v>-53124</v>
      </c>
      <c r="P22" s="236">
        <f>O22/Ridership[[#This Row],[FY24 Ridership]]</f>
        <v>-5.3010874793191332E-2</v>
      </c>
      <c r="S22" s="238"/>
      <c r="T22" s="239"/>
      <c r="U22" s="239"/>
      <c r="V22" s="244"/>
      <c r="W22" s="239"/>
      <c r="X22" s="245"/>
    </row>
    <row r="23" spans="1:24" ht="15">
      <c r="A23" s="208" t="s">
        <v>49</v>
      </c>
      <c r="B23" s="202">
        <v>4566013</v>
      </c>
      <c r="C23" s="202">
        <v>5191499</v>
      </c>
      <c r="D23" s="202">
        <v>8365287</v>
      </c>
      <c r="E23" s="202">
        <v>8721363</v>
      </c>
      <c r="F23" s="200">
        <v>9687227</v>
      </c>
      <c r="G23" s="201" t="s">
        <v>224</v>
      </c>
      <c r="H23">
        <v>22</v>
      </c>
      <c r="I23">
        <v>27</v>
      </c>
      <c r="J23" s="269">
        <f>AVERAGE(Ridership[[#This Row],[FY23 Ridership]:[FY25 Ridership]])</f>
        <v>8924625.666666666</v>
      </c>
      <c r="K23" s="269">
        <f>AVERAGE(Ridership[[#This Row],[FY22 Ridership2]:[FY24 Ridership]])</f>
        <v>7426049.666666667</v>
      </c>
      <c r="L23" s="269">
        <f>AVERAGE(Ridership[[#This Row],[FY21 Ridership]:[FY23 Ridership]])</f>
        <v>6040933</v>
      </c>
      <c r="M23" s="269" t="str">
        <f>VLOOKUP(Ridership[[#This Row],[Agency]],Assumptions!$B$35:$C$73, 2, FALSE)</f>
        <v>Large Urban</v>
      </c>
      <c r="O23" s="235">
        <f>Ridership[[#This Row],[FY25 Ridership]]-Ridership[[#This Row],[FY24 Ridership]]</f>
        <v>965864</v>
      </c>
      <c r="P23" s="236">
        <f>O23/Ridership[[#This Row],[FY24 Ridership]]</f>
        <v>0.11074690962868992</v>
      </c>
      <c r="S23" s="238"/>
      <c r="T23" s="239"/>
      <c r="U23" s="239"/>
      <c r="V23" s="244"/>
      <c r="W23" s="239"/>
    </row>
    <row r="24" spans="1:24" ht="15">
      <c r="A24" s="208" t="s">
        <v>50</v>
      </c>
      <c r="B24" s="202">
        <v>723026</v>
      </c>
      <c r="C24" s="202">
        <v>1220283</v>
      </c>
      <c r="D24" s="227">
        <v>1582491</v>
      </c>
      <c r="E24" s="202">
        <v>1972474</v>
      </c>
      <c r="F24" s="200">
        <v>2342487</v>
      </c>
      <c r="G24" s="201" t="s">
        <v>224</v>
      </c>
      <c r="H24">
        <v>23</v>
      </c>
      <c r="I24">
        <v>28</v>
      </c>
      <c r="J24" s="269">
        <f>AVERAGE(Ridership[[#This Row],[FY23 Ridership]:[FY25 Ridership]])</f>
        <v>1965817.3333333333</v>
      </c>
      <c r="K24" s="269">
        <f>AVERAGE(Ridership[[#This Row],[FY22 Ridership2]:[FY24 Ridership]])</f>
        <v>1591749.3333333333</v>
      </c>
      <c r="L24" s="269">
        <f>AVERAGE(Ridership[[#This Row],[FY21 Ridership]:[FY23 Ridership]])</f>
        <v>1175266.6666666667</v>
      </c>
      <c r="M24" s="269" t="str">
        <f>VLOOKUP(Ridership[[#This Row],[Agency]],Assumptions!$B$35:$C$73, 2, FALSE)</f>
        <v>Large Urban</v>
      </c>
      <c r="O24" s="235">
        <f>Ridership[[#This Row],[FY25 Ridership]]-Ridership[[#This Row],[FY24 Ridership]]</f>
        <v>370013</v>
      </c>
      <c r="P24" s="236">
        <f>O24/Ridership[[#This Row],[FY24 Ridership]]</f>
        <v>0.18758827746271942</v>
      </c>
      <c r="S24" s="238"/>
      <c r="T24" s="239"/>
      <c r="U24" s="239"/>
      <c r="V24" s="244"/>
      <c r="W24" s="239"/>
    </row>
    <row r="25" spans="1:24" ht="15">
      <c r="A25" s="208" t="s">
        <v>29</v>
      </c>
      <c r="B25" s="202">
        <v>331823</v>
      </c>
      <c r="C25" s="202">
        <v>404081</v>
      </c>
      <c r="D25" s="202">
        <v>475942</v>
      </c>
      <c r="E25" s="202">
        <v>471466</v>
      </c>
      <c r="F25" s="200">
        <v>511726</v>
      </c>
      <c r="G25" s="201" t="s">
        <v>225</v>
      </c>
      <c r="H25">
        <v>24</v>
      </c>
      <c r="I25">
        <v>7</v>
      </c>
      <c r="J25" s="269">
        <f>AVERAGE(Ridership[[#This Row],[FY23 Ridership]:[FY25 Ridership]])</f>
        <v>486378</v>
      </c>
      <c r="K25" s="269">
        <f>AVERAGE(Ridership[[#This Row],[FY22 Ridership2]:[FY24 Ridership]])</f>
        <v>450496.33333333331</v>
      </c>
      <c r="L25" s="269">
        <f>AVERAGE(Ridership[[#This Row],[FY21 Ridership]:[FY23 Ridership]])</f>
        <v>403948.66666666669</v>
      </c>
      <c r="M25" s="269" t="str">
        <f>VLOOKUP(Ridership[[#This Row],[Agency]],Assumptions!$B$35:$C$73, 2, FALSE)</f>
        <v>Large Urban</v>
      </c>
      <c r="O25" s="235">
        <f>Ridership[[#This Row],[FY25 Ridership]]-Ridership[[#This Row],[FY24 Ridership]]</f>
        <v>40260</v>
      </c>
      <c r="P25" s="236">
        <f>O25/Ridership[[#This Row],[FY24 Ridership]]</f>
        <v>8.5393220295843175E-2</v>
      </c>
      <c r="S25" s="238"/>
      <c r="T25" s="239"/>
      <c r="U25" s="239"/>
      <c r="V25" s="244"/>
      <c r="W25" s="239"/>
    </row>
    <row r="26" spans="1:24" ht="15">
      <c r="A26" s="208" t="s">
        <v>39</v>
      </c>
      <c r="B26" s="202">
        <v>7694498</v>
      </c>
      <c r="C26" s="202">
        <v>8838099</v>
      </c>
      <c r="D26" s="202">
        <v>9625071</v>
      </c>
      <c r="E26" s="202">
        <v>10824111</v>
      </c>
      <c r="F26" s="200">
        <v>12101467</v>
      </c>
      <c r="G26" s="201" t="s">
        <v>225</v>
      </c>
      <c r="H26">
        <v>25</v>
      </c>
      <c r="I26">
        <v>17</v>
      </c>
      <c r="J26" s="269">
        <f>AVERAGE(Ridership[[#This Row],[FY23 Ridership]:[FY25 Ridership]])</f>
        <v>10850216.333333334</v>
      </c>
      <c r="K26" s="269">
        <f>AVERAGE(Ridership[[#This Row],[FY22 Ridership2]:[FY24 Ridership]])</f>
        <v>9762427</v>
      </c>
      <c r="L26" s="269">
        <f>AVERAGE(Ridership[[#This Row],[FY21 Ridership]:[FY23 Ridership]])</f>
        <v>8719222.666666666</v>
      </c>
      <c r="M26" s="269" t="str">
        <f>VLOOKUP(Ridership[[#This Row],[Agency]],Assumptions!$B$35:$C$73, 2, FALSE)</f>
        <v>Large Urban</v>
      </c>
      <c r="O26" s="235">
        <f>Ridership[[#This Row],[FY25 Ridership]]-Ridership[[#This Row],[FY24 Ridership]]</f>
        <v>1277356</v>
      </c>
      <c r="P26" s="236">
        <f>O26/Ridership[[#This Row],[FY24 Ridership]]</f>
        <v>0.11801024582988848</v>
      </c>
      <c r="S26" s="238"/>
      <c r="T26" s="239"/>
      <c r="U26" s="239"/>
      <c r="V26" s="244"/>
      <c r="W26" s="239"/>
    </row>
    <row r="27" spans="1:24" ht="15">
      <c r="A27" s="208" t="s">
        <v>55</v>
      </c>
      <c r="B27" s="200">
        <v>0</v>
      </c>
      <c r="C27" s="200">
        <v>0</v>
      </c>
      <c r="D27" s="202">
        <v>4010</v>
      </c>
      <c r="E27" s="202">
        <v>6669</v>
      </c>
      <c r="F27" s="200">
        <v>7175</v>
      </c>
      <c r="G27" s="201" t="s">
        <v>226</v>
      </c>
      <c r="H27">
        <v>26</v>
      </c>
      <c r="I27">
        <v>33</v>
      </c>
      <c r="J27" s="269">
        <f>AVERAGE(Ridership[[#This Row],[FY23 Ridership]:[FY25 Ridership]])</f>
        <v>5951.333333333333</v>
      </c>
      <c r="K27" s="269">
        <f>AVERAGE(Ridership[[#This Row],[FY22 Ridership2]:[FY24 Ridership]])</f>
        <v>3559.6666666666665</v>
      </c>
      <c r="L27" s="269">
        <f>AVERAGE(Ridership[[#This Row],[FY21 Ridership]:[FY23 Ridership]])</f>
        <v>1336.6666666666667</v>
      </c>
      <c r="M27" s="269" t="str">
        <f>VLOOKUP(Ridership[[#This Row],[Agency]],Assumptions!$B$35:$C$73, 2, FALSE)</f>
        <v>Rural</v>
      </c>
      <c r="O27" s="235">
        <f>Ridership[[#This Row],[FY25 Ridership]]-Ridership[[#This Row],[FY24 Ridership]]</f>
        <v>506</v>
      </c>
      <c r="P27" s="236">
        <f>O27/Ridership[[#This Row],[FY24 Ridership]]</f>
        <v>7.5873444294496925E-2</v>
      </c>
      <c r="S27" s="238"/>
      <c r="T27" s="239"/>
      <c r="U27" s="239"/>
      <c r="V27" s="244"/>
      <c r="W27" s="239"/>
    </row>
    <row r="28" spans="1:24" ht="15">
      <c r="A28" s="208" t="s">
        <v>56</v>
      </c>
      <c r="B28" s="202">
        <v>810754</v>
      </c>
      <c r="C28" s="202">
        <v>3267836</v>
      </c>
      <c r="D28" s="202">
        <v>3520078</v>
      </c>
      <c r="E28" s="202">
        <v>3791431</v>
      </c>
      <c r="F28" s="200">
        <v>4783530</v>
      </c>
      <c r="G28" s="201" t="s">
        <v>226</v>
      </c>
      <c r="H28">
        <v>27</v>
      </c>
      <c r="I28">
        <v>34</v>
      </c>
      <c r="J28" s="269">
        <f>AVERAGE(Ridership[[#This Row],[FY23 Ridership]:[FY25 Ridership]])</f>
        <v>4031679.6666666665</v>
      </c>
      <c r="K28" s="269">
        <f>AVERAGE(Ridership[[#This Row],[FY22 Ridership2]:[FY24 Ridership]])</f>
        <v>3526448.3333333335</v>
      </c>
      <c r="L28" s="269">
        <f>AVERAGE(Ridership[[#This Row],[FY21 Ridership]:[FY23 Ridership]])</f>
        <v>2532889.3333333335</v>
      </c>
      <c r="M28" s="269" t="str">
        <f>VLOOKUP(Ridership[[#This Row],[Agency]],Assumptions!$B$35:$C$73, 2, FALSE)</f>
        <v>Small Urban</v>
      </c>
      <c r="O28" s="235">
        <f>Ridership[[#This Row],[FY25 Ridership]]-Ridership[[#This Row],[FY24 Ridership]]</f>
        <v>992099</v>
      </c>
      <c r="P28" s="236">
        <f>O28/Ridership[[#This Row],[FY24 Ridership]]</f>
        <v>0.26166874723554245</v>
      </c>
      <c r="S28" s="238"/>
      <c r="T28" s="239"/>
      <c r="U28" s="239"/>
      <c r="V28" s="244"/>
      <c r="W28" s="239"/>
    </row>
    <row r="29" spans="1:24" ht="15">
      <c r="A29" s="208" t="s">
        <v>30</v>
      </c>
      <c r="B29" s="202">
        <v>102199</v>
      </c>
      <c r="C29" s="202">
        <v>125489</v>
      </c>
      <c r="D29" s="202">
        <v>120233</v>
      </c>
      <c r="E29" s="202">
        <v>90833</v>
      </c>
      <c r="F29" s="200">
        <v>140253</v>
      </c>
      <c r="G29" s="201" t="s">
        <v>226</v>
      </c>
      <c r="H29">
        <v>28</v>
      </c>
      <c r="I29">
        <v>8</v>
      </c>
      <c r="J29" s="269">
        <f>AVERAGE(Ridership[[#This Row],[FY23 Ridership]:[FY25 Ridership]])</f>
        <v>117106.33333333333</v>
      </c>
      <c r="K29" s="269">
        <f>AVERAGE(Ridership[[#This Row],[FY22 Ridership2]:[FY24 Ridership]])</f>
        <v>112185</v>
      </c>
      <c r="L29" s="269">
        <f>AVERAGE(Ridership[[#This Row],[FY21 Ridership]:[FY23 Ridership]])</f>
        <v>115973.66666666667</v>
      </c>
      <c r="M29" s="269" t="str">
        <f>VLOOKUP(Ridership[[#This Row],[Agency]],Assumptions!$B$35:$C$73, 2, FALSE)</f>
        <v>Rural</v>
      </c>
      <c r="O29" s="235">
        <f>Ridership[[#This Row],[FY25 Ridership]]-Ridership[[#This Row],[FY24 Ridership]]</f>
        <v>49420</v>
      </c>
      <c r="P29" s="236">
        <f>O29/Ridership[[#This Row],[FY24 Ridership]]</f>
        <v>0.5440753911023527</v>
      </c>
      <c r="S29" s="238"/>
      <c r="T29" s="239"/>
      <c r="U29" s="239"/>
      <c r="V29" s="244"/>
      <c r="W29" s="239"/>
    </row>
    <row r="30" spans="1:24" ht="15">
      <c r="A30" s="208" t="s">
        <v>40</v>
      </c>
      <c r="B30" s="202">
        <v>1097072</v>
      </c>
      <c r="C30" s="202">
        <v>1134478</v>
      </c>
      <c r="D30" s="202">
        <v>1287135</v>
      </c>
      <c r="E30" s="202">
        <v>1396636</v>
      </c>
      <c r="F30" s="200">
        <v>1454390</v>
      </c>
      <c r="G30" s="201" t="s">
        <v>226</v>
      </c>
      <c r="H30">
        <v>29</v>
      </c>
      <c r="I30">
        <v>18</v>
      </c>
      <c r="J30" s="269">
        <f>AVERAGE(Ridership[[#This Row],[FY23 Ridership]:[FY25 Ridership]])</f>
        <v>1379387</v>
      </c>
      <c r="K30" s="269">
        <f>AVERAGE(Ridership[[#This Row],[FY22 Ridership2]:[FY24 Ridership]])</f>
        <v>1272749.6666666667</v>
      </c>
      <c r="L30" s="269">
        <f>AVERAGE(Ridership[[#This Row],[FY21 Ridership]:[FY23 Ridership]])</f>
        <v>1172895</v>
      </c>
      <c r="M30" s="269" t="str">
        <f>VLOOKUP(Ridership[[#This Row],[Agency]],Assumptions!$B$35:$C$73, 2, FALSE)</f>
        <v>Large Urban</v>
      </c>
      <c r="O30" s="235">
        <f>Ridership[[#This Row],[FY25 Ridership]]-Ridership[[#This Row],[FY24 Ridership]]</f>
        <v>57754</v>
      </c>
      <c r="P30" s="236">
        <f>O30/Ridership[[#This Row],[FY24 Ridership]]</f>
        <v>4.1352220621550639E-2</v>
      </c>
      <c r="S30" s="238"/>
      <c r="T30" s="239"/>
      <c r="U30" s="239"/>
      <c r="V30" s="244"/>
      <c r="W30" s="239"/>
    </row>
    <row r="31" spans="1:24" ht="15">
      <c r="A31" s="208" t="s">
        <v>51</v>
      </c>
      <c r="B31" s="202">
        <v>37896</v>
      </c>
      <c r="C31" s="202">
        <v>29480</v>
      </c>
      <c r="D31" s="202">
        <v>27254</v>
      </c>
      <c r="E31" s="202">
        <v>28456</v>
      </c>
      <c r="F31" s="200">
        <v>31591</v>
      </c>
      <c r="G31" s="201" t="s">
        <v>226</v>
      </c>
      <c r="H31">
        <v>30</v>
      </c>
      <c r="I31">
        <v>29</v>
      </c>
      <c r="J31" s="269">
        <f>AVERAGE(Ridership[[#This Row],[FY23 Ridership]:[FY25 Ridership]])</f>
        <v>29100.333333333332</v>
      </c>
      <c r="K31" s="269">
        <f>AVERAGE(Ridership[[#This Row],[FY22 Ridership2]:[FY24 Ridership]])</f>
        <v>28396.666666666668</v>
      </c>
      <c r="L31" s="269">
        <f>AVERAGE(Ridership[[#This Row],[FY21 Ridership]:[FY23 Ridership]])</f>
        <v>31543.333333333332</v>
      </c>
      <c r="M31" s="269" t="str">
        <f>VLOOKUP(Ridership[[#This Row],[Agency]],Assumptions!$B$35:$C$73, 2, FALSE)</f>
        <v>Rural</v>
      </c>
      <c r="O31" s="235">
        <f>Ridership[[#This Row],[FY25 Ridership]]-Ridership[[#This Row],[FY24 Ridership]]</f>
        <v>3135</v>
      </c>
      <c r="P31" s="236">
        <f>O31/Ridership[[#This Row],[FY24 Ridership]]</f>
        <v>0.11017008715209446</v>
      </c>
      <c r="S31" s="238"/>
      <c r="T31" s="239"/>
      <c r="U31" s="239"/>
      <c r="V31" s="244"/>
      <c r="W31" s="239"/>
    </row>
    <row r="32" spans="1:24" ht="15">
      <c r="A32" s="208" t="s">
        <v>25</v>
      </c>
      <c r="B32" s="202">
        <v>149731</v>
      </c>
      <c r="C32" s="202">
        <v>162733</v>
      </c>
      <c r="D32" s="202">
        <v>196967</v>
      </c>
      <c r="E32" s="202">
        <v>212642</v>
      </c>
      <c r="F32" s="200">
        <v>215834</v>
      </c>
      <c r="G32" s="201" t="s">
        <v>227</v>
      </c>
      <c r="H32">
        <v>31</v>
      </c>
      <c r="I32">
        <v>3</v>
      </c>
      <c r="J32" s="269">
        <f>AVERAGE(Ridership[[#This Row],[FY23 Ridership]:[FY25 Ridership]])</f>
        <v>208481</v>
      </c>
      <c r="K32" s="269">
        <f>AVERAGE(Ridership[[#This Row],[FY22 Ridership2]:[FY24 Ridership]])</f>
        <v>190780.66666666666</v>
      </c>
      <c r="L32" s="269">
        <f>AVERAGE(Ridership[[#This Row],[FY21 Ridership]:[FY23 Ridership]])</f>
        <v>169810.33333333334</v>
      </c>
      <c r="M32" s="269" t="str">
        <f>VLOOKUP(Ridership[[#This Row],[Agency]],Assumptions!$B$35:$C$73, 2, FALSE)</f>
        <v>Small Urban</v>
      </c>
      <c r="O32" s="235">
        <f>Ridership[[#This Row],[FY25 Ridership]]-Ridership[[#This Row],[FY24 Ridership]]</f>
        <v>3192</v>
      </c>
      <c r="P32" s="236">
        <f>O32/Ridership[[#This Row],[FY24 Ridership]]</f>
        <v>1.5011145493364434E-2</v>
      </c>
      <c r="S32" s="238"/>
      <c r="T32" s="239"/>
      <c r="U32" s="239"/>
      <c r="V32" s="244"/>
      <c r="W32" s="239"/>
    </row>
    <row r="33" spans="1:23" ht="15">
      <c r="A33" s="208" t="s">
        <v>28</v>
      </c>
      <c r="B33" s="202">
        <v>503759</v>
      </c>
      <c r="C33" s="202">
        <v>1360253</v>
      </c>
      <c r="D33" s="202">
        <v>1522746</v>
      </c>
      <c r="E33" s="202">
        <v>1877126</v>
      </c>
      <c r="F33" s="200">
        <v>1957345</v>
      </c>
      <c r="G33" s="201" t="s">
        <v>227</v>
      </c>
      <c r="H33">
        <v>32</v>
      </c>
      <c r="I33">
        <v>6</v>
      </c>
      <c r="J33" s="269">
        <f>AVERAGE(Ridership[[#This Row],[FY23 Ridership]:[FY25 Ridership]])</f>
        <v>1785739</v>
      </c>
      <c r="K33" s="269">
        <f>AVERAGE(Ridership[[#This Row],[FY22 Ridership2]:[FY24 Ridership]])</f>
        <v>1586708.3333333333</v>
      </c>
      <c r="L33" s="269">
        <f>AVERAGE(Ridership[[#This Row],[FY21 Ridership]:[FY23 Ridership]])</f>
        <v>1128919.3333333333</v>
      </c>
      <c r="M33" s="269" t="str">
        <f>VLOOKUP(Ridership[[#This Row],[Agency]],Assumptions!$B$35:$C$73, 2, FALSE)</f>
        <v>Small Urban</v>
      </c>
      <c r="O33" s="235">
        <f>Ridership[[#This Row],[FY25 Ridership]]-Ridership[[#This Row],[FY24 Ridership]]</f>
        <v>80219</v>
      </c>
      <c r="P33" s="236">
        <f>O33/Ridership[[#This Row],[FY24 Ridership]]</f>
        <v>4.2735010862350209E-2</v>
      </c>
      <c r="S33" s="238"/>
      <c r="T33" s="239"/>
      <c r="U33" s="239"/>
      <c r="V33" s="244"/>
      <c r="W33" s="239"/>
    </row>
    <row r="34" spans="1:23" ht="15">
      <c r="A34" s="208" t="s">
        <v>32</v>
      </c>
      <c r="B34" s="202">
        <v>85334</v>
      </c>
      <c r="C34" s="202">
        <v>134223</v>
      </c>
      <c r="D34" s="202">
        <v>180625</v>
      </c>
      <c r="E34" s="202">
        <v>181306</v>
      </c>
      <c r="F34" s="200">
        <v>106471</v>
      </c>
      <c r="G34" s="201" t="s">
        <v>227</v>
      </c>
      <c r="H34">
        <v>33</v>
      </c>
      <c r="I34">
        <v>10</v>
      </c>
      <c r="J34" s="269">
        <f>AVERAGE(Ridership[[#This Row],[FY23 Ridership]:[FY25 Ridership]])</f>
        <v>156134</v>
      </c>
      <c r="K34" s="269">
        <f>AVERAGE(Ridership[[#This Row],[FY22 Ridership2]:[FY24 Ridership]])</f>
        <v>165384.66666666666</v>
      </c>
      <c r="L34" s="269">
        <f>AVERAGE(Ridership[[#This Row],[FY21 Ridership]:[FY23 Ridership]])</f>
        <v>133394</v>
      </c>
      <c r="M34" s="269" t="str">
        <f>VLOOKUP(Ridership[[#This Row],[Agency]],Assumptions!$B$35:$C$73, 2, FALSE)</f>
        <v>Small Urban</v>
      </c>
      <c r="O34" s="235">
        <f>Ridership[[#This Row],[FY25 Ridership]]-Ridership[[#This Row],[FY24 Ridership]]</f>
        <v>-74835</v>
      </c>
      <c r="P34" s="236">
        <f>O34/Ridership[[#This Row],[FY24 Ridership]]</f>
        <v>-0.41275523148709914</v>
      </c>
      <c r="S34" s="238"/>
      <c r="T34" s="239"/>
      <c r="U34" s="239"/>
      <c r="V34" s="244"/>
      <c r="W34" s="239"/>
    </row>
    <row r="35" spans="1:23" ht="15">
      <c r="A35" s="208" t="s">
        <v>24</v>
      </c>
      <c r="B35" s="202">
        <v>108664</v>
      </c>
      <c r="C35" s="202">
        <v>127135</v>
      </c>
      <c r="D35" s="202">
        <v>129839</v>
      </c>
      <c r="E35" s="202">
        <v>131277</v>
      </c>
      <c r="F35" s="200">
        <v>128678</v>
      </c>
      <c r="G35" s="201" t="s">
        <v>228</v>
      </c>
      <c r="H35">
        <v>34</v>
      </c>
      <c r="I35">
        <v>2</v>
      </c>
      <c r="J35" s="269">
        <f>AVERAGE(Ridership[[#This Row],[FY23 Ridership]:[FY25 Ridership]])</f>
        <v>129931.33333333333</v>
      </c>
      <c r="K35" s="269">
        <f>AVERAGE(Ridership[[#This Row],[FY22 Ridership2]:[FY24 Ridership]])</f>
        <v>129417</v>
      </c>
      <c r="L35" s="269">
        <f>AVERAGE(Ridership[[#This Row],[FY21 Ridership]:[FY23 Ridership]])</f>
        <v>121879.33333333333</v>
      </c>
      <c r="M35" s="269" t="str">
        <f>VLOOKUP(Ridership[[#This Row],[Agency]],Assumptions!$B$35:$C$73, 2, FALSE)</f>
        <v>Rural</v>
      </c>
      <c r="O35" s="235">
        <f>Ridership[[#This Row],[FY25 Ridership]]-Ridership[[#This Row],[FY24 Ridership]]</f>
        <v>-2599</v>
      </c>
      <c r="P35" s="236">
        <f>O35/Ridership[[#This Row],[FY24 Ridership]]</f>
        <v>-1.9797832065022815E-2</v>
      </c>
      <c r="S35" s="238"/>
      <c r="T35" s="239"/>
      <c r="U35" s="239"/>
      <c r="V35" s="244"/>
      <c r="W35" s="239"/>
    </row>
    <row r="36" spans="1:23" ht="15">
      <c r="A36" s="208" t="s">
        <v>57</v>
      </c>
      <c r="B36" s="202">
        <v>21664</v>
      </c>
      <c r="C36" s="202">
        <v>24049</v>
      </c>
      <c r="D36" s="202">
        <v>28422</v>
      </c>
      <c r="E36" s="202">
        <v>28882</v>
      </c>
      <c r="F36" s="200">
        <v>28279</v>
      </c>
      <c r="G36" s="201" t="s">
        <v>228</v>
      </c>
      <c r="H36">
        <v>35</v>
      </c>
      <c r="I36">
        <v>35</v>
      </c>
      <c r="J36" s="269">
        <f>AVERAGE(Ridership[[#This Row],[FY23 Ridership]:[FY25 Ridership]])</f>
        <v>28527.666666666668</v>
      </c>
      <c r="K36" s="269">
        <f>AVERAGE(Ridership[[#This Row],[FY22 Ridership2]:[FY24 Ridership]])</f>
        <v>27117.666666666668</v>
      </c>
      <c r="L36" s="269">
        <f>AVERAGE(Ridership[[#This Row],[FY21 Ridership]:[FY23 Ridership]])</f>
        <v>24711.666666666668</v>
      </c>
      <c r="M36" s="269" t="str">
        <f>VLOOKUP(Ridership[[#This Row],[Agency]],Assumptions!$B$35:$C$73, 2, FALSE)</f>
        <v>Rural</v>
      </c>
      <c r="O36" s="235">
        <f>Ridership[[#This Row],[FY25 Ridership]]-Ridership[[#This Row],[FY24 Ridership]]</f>
        <v>-603</v>
      </c>
      <c r="P36" s="236">
        <f>O36/Ridership[[#This Row],[FY24 Ridership]]</f>
        <v>-2.08780555363202E-2</v>
      </c>
      <c r="S36" s="238"/>
      <c r="T36" s="239"/>
      <c r="U36" s="239"/>
      <c r="V36" s="244"/>
      <c r="W36" s="239"/>
    </row>
    <row r="37" spans="1:23" ht="15">
      <c r="A37" s="208" t="s">
        <v>43</v>
      </c>
      <c r="B37" s="227">
        <v>71935</v>
      </c>
      <c r="C37" s="227">
        <v>90462</v>
      </c>
      <c r="D37" s="227">
        <v>124465</v>
      </c>
      <c r="E37" s="227">
        <f>125848</f>
        <v>125848</v>
      </c>
      <c r="F37" s="200">
        <v>135799</v>
      </c>
      <c r="G37" s="201" t="s">
        <v>228</v>
      </c>
      <c r="H37">
        <v>36</v>
      </c>
      <c r="I37">
        <v>21</v>
      </c>
      <c r="J37" s="269">
        <f>AVERAGE(Ridership[[#This Row],[FY23 Ridership]:[FY25 Ridership]])</f>
        <v>128704</v>
      </c>
      <c r="K37" s="269">
        <f>AVERAGE(Ridership[[#This Row],[FY22 Ridership2]:[FY24 Ridership]])</f>
        <v>113591.66666666667</v>
      </c>
      <c r="L37" s="269">
        <f>AVERAGE(Ridership[[#This Row],[FY21 Ridership]:[FY23 Ridership]])</f>
        <v>95620.666666666672</v>
      </c>
      <c r="M37" s="269" t="str">
        <f>VLOOKUP(Ridership[[#This Row],[Agency]],Assumptions!$B$35:$C$73, 2, FALSE)</f>
        <v>Rural</v>
      </c>
      <c r="O37" s="235">
        <f>Ridership[[#This Row],[FY25 Ridership]]-Ridership[[#This Row],[FY24 Ridership]]</f>
        <v>9951</v>
      </c>
      <c r="P37" s="236">
        <f>O37/Ridership[[#This Row],[FY24 Ridership]]</f>
        <v>7.9071578412052632E-2</v>
      </c>
      <c r="S37" s="238"/>
      <c r="T37" s="239"/>
      <c r="U37" s="239"/>
      <c r="V37" s="244"/>
      <c r="W37" s="239"/>
    </row>
    <row r="38" spans="1:23" ht="15">
      <c r="A38" s="208" t="s">
        <v>44</v>
      </c>
      <c r="B38" s="202">
        <v>11150</v>
      </c>
      <c r="C38" s="202">
        <v>11840</v>
      </c>
      <c r="D38" s="202">
        <v>11675</v>
      </c>
      <c r="E38" s="202">
        <v>12090</v>
      </c>
      <c r="F38" s="200">
        <v>12961</v>
      </c>
      <c r="G38" s="201" t="s">
        <v>228</v>
      </c>
      <c r="H38">
        <v>37</v>
      </c>
      <c r="I38">
        <v>22</v>
      </c>
      <c r="J38" s="269">
        <f>AVERAGE(Ridership[[#This Row],[FY23 Ridership]:[FY25 Ridership]])</f>
        <v>12242</v>
      </c>
      <c r="K38" s="269">
        <f>AVERAGE(Ridership[[#This Row],[FY22 Ridership2]:[FY24 Ridership]])</f>
        <v>11868.333333333334</v>
      </c>
      <c r="L38" s="269">
        <f>AVERAGE(Ridership[[#This Row],[FY21 Ridership]:[FY23 Ridership]])</f>
        <v>11555</v>
      </c>
      <c r="M38" s="269" t="str">
        <f>VLOOKUP(Ridership[[#This Row],[Agency]],Assumptions!$B$35:$C$73, 2, FALSE)</f>
        <v>Rural</v>
      </c>
      <c r="O38" s="235">
        <f>Ridership[[#This Row],[FY25 Ridership]]-Ridership[[#This Row],[FY24 Ridership]]</f>
        <v>871</v>
      </c>
      <c r="P38" s="236">
        <f>O38/Ridership[[#This Row],[FY24 Ridership]]</f>
        <v>7.2043010752688166E-2</v>
      </c>
      <c r="S38" s="238"/>
      <c r="T38" s="239"/>
      <c r="U38" s="239"/>
      <c r="V38" s="244"/>
      <c r="W38" s="239"/>
    </row>
    <row r="39" spans="1:23" ht="15">
      <c r="A39" s="208" t="s">
        <v>52</v>
      </c>
      <c r="B39" s="200">
        <v>42699</v>
      </c>
      <c r="C39" s="200">
        <v>49444</v>
      </c>
      <c r="D39" s="200">
        <v>61663</v>
      </c>
      <c r="E39" s="200">
        <v>62326</v>
      </c>
      <c r="F39" s="200">
        <v>70287</v>
      </c>
      <c r="G39" s="201" t="s">
        <v>228</v>
      </c>
      <c r="H39">
        <v>38</v>
      </c>
      <c r="I39">
        <v>30</v>
      </c>
      <c r="J39" s="269">
        <f>AVERAGE(Ridership[[#This Row],[FY23 Ridership]:[FY25 Ridership]])</f>
        <v>64758.666666666664</v>
      </c>
      <c r="K39" s="269">
        <f>AVERAGE(Ridership[[#This Row],[FY22 Ridership2]:[FY24 Ridership]])</f>
        <v>57811</v>
      </c>
      <c r="L39" s="269">
        <f>AVERAGE(Ridership[[#This Row],[FY21 Ridership]:[FY23 Ridership]])</f>
        <v>51268.666666666664</v>
      </c>
      <c r="M39" s="269" t="str">
        <f>VLOOKUP(Ridership[[#This Row],[Agency]],Assumptions!$B$35:$C$73, 2, FALSE)</f>
        <v>Rural</v>
      </c>
      <c r="O39" s="235">
        <f>Ridership[[#This Row],[FY25 Ridership]]-Ridership[[#This Row],[FY24 Ridership]]</f>
        <v>7961</v>
      </c>
      <c r="P39" s="236">
        <f>O39/Ridership[[#This Row],[FY24 Ridership]]</f>
        <v>0.12773160478772905</v>
      </c>
      <c r="S39" s="238"/>
      <c r="T39" s="239"/>
      <c r="U39" s="239"/>
      <c r="V39" s="244"/>
      <c r="W39" s="239"/>
    </row>
    <row r="40" spans="1:23" ht="15">
      <c r="A40" s="208" t="s">
        <v>60</v>
      </c>
      <c r="B40" s="202">
        <v>141153</v>
      </c>
      <c r="C40" s="202">
        <v>169413</v>
      </c>
      <c r="D40" s="227">
        <v>187266</v>
      </c>
      <c r="E40" s="202">
        <v>192152</v>
      </c>
      <c r="F40" s="200">
        <v>196650</v>
      </c>
      <c r="G40" s="201" t="s">
        <v>228</v>
      </c>
      <c r="H40">
        <v>39</v>
      </c>
      <c r="I40">
        <v>38</v>
      </c>
      <c r="J40" s="269">
        <f>AVERAGE(Ridership[[#This Row],[FY23 Ridership]:[FY25 Ridership]])</f>
        <v>192022.66666666666</v>
      </c>
      <c r="K40" s="269">
        <f>AVERAGE(Ridership[[#This Row],[FY22 Ridership2]:[FY24 Ridership]])</f>
        <v>182943.66666666666</v>
      </c>
      <c r="L40" s="269">
        <f>AVERAGE(Ridership[[#This Row],[FY21 Ridership]:[FY23 Ridership]])</f>
        <v>165944</v>
      </c>
      <c r="M40" s="269" t="str">
        <f>VLOOKUP(Ridership[[#This Row],[Agency]],Assumptions!$B$35:$C$73, 2, FALSE)</f>
        <v>Rural</v>
      </c>
      <c r="O40" s="235">
        <f>Ridership[[#This Row],[FY25 Ridership]]-Ridership[[#This Row],[FY24 Ridership]]</f>
        <v>4498</v>
      </c>
      <c r="P40" s="236">
        <f>O40/Ridership[[#This Row],[FY24 Ridership]]</f>
        <v>2.3408551563345686E-2</v>
      </c>
      <c r="S40" s="238"/>
      <c r="T40" s="239"/>
      <c r="U40" s="239"/>
      <c r="V40" s="244"/>
      <c r="W40" s="239"/>
    </row>
    <row r="41" spans="1:23" ht="15">
      <c r="A41" s="204" t="s">
        <v>229</v>
      </c>
      <c r="B41" s="205">
        <f>SUM(B2:B40)</f>
        <v>29775389</v>
      </c>
      <c r="C41" s="205">
        <f>SUM(C2:C40)</f>
        <v>38752057</v>
      </c>
      <c r="D41" s="205">
        <f>SUM(D2:D40)</f>
        <v>47365299</v>
      </c>
      <c r="E41" s="205">
        <f>SUM(E2:E40)</f>
        <v>53101586</v>
      </c>
      <c r="F41" s="205">
        <f>SUM(F2:F40)</f>
        <v>58683534</v>
      </c>
      <c r="G41" s="206" t="s">
        <v>173</v>
      </c>
      <c r="H41" s="206" t="s">
        <v>173</v>
      </c>
      <c r="I41" s="207" t="s">
        <v>173</v>
      </c>
      <c r="J41" s="874">
        <f>SUBTOTAL(109,Ridership[3-Year Average FY27])</f>
        <v>53050139.666666664</v>
      </c>
      <c r="K41" s="874">
        <f>SUBTOTAL(109,Ridership[3-Year Average FY26])</f>
        <v>46406313.999999993</v>
      </c>
      <c r="L41" s="874">
        <f>SUBTOTAL(109,Ridership[3-Year Average FY25])</f>
        <v>38630915</v>
      </c>
      <c r="O41" s="235">
        <f>F41-E41</f>
        <v>5581948</v>
      </c>
      <c r="P41" s="236">
        <f>O41/E41</f>
        <v>0.10511829157042503</v>
      </c>
      <c r="V41" s="239"/>
      <c r="W41" s="239"/>
    </row>
    <row r="42" spans="1:23" ht="15">
      <c r="A42" s="19" t="s">
        <v>7</v>
      </c>
      <c r="C42" s="20"/>
      <c r="D42" s="21"/>
      <c r="J42" s="165">
        <f>SUMIF(Ridership[Agency Type], $A42, Ridership[3-Year Average FY27])</f>
        <v>41207472.333333328</v>
      </c>
      <c r="K42" s="165">
        <f>SUMIF(Ridership[Agency Type], $A42, Ridership[3-Year Average FY26])</f>
        <v>35640538.999999993</v>
      </c>
      <c r="L42" s="165">
        <f>SUMIF(Ridership[Agency Type], $A42, Ridership[3-Year Average FY25])</f>
        <v>29979096.333333336</v>
      </c>
      <c r="V42" s="239"/>
      <c r="W42" s="239"/>
    </row>
    <row r="43" spans="1:23">
      <c r="A43" s="19" t="s">
        <v>8</v>
      </c>
      <c r="J43" s="165">
        <f>SUMIF(Ridership[Agency Type], $A43, Ridership[3-Year Average FY27])</f>
        <v>10120062.666666666</v>
      </c>
      <c r="K43" s="165">
        <f>SUMIF(Ridership[Agency Type], $A43, Ridership[3-Year Average FY26])</f>
        <v>9154150.3333333321</v>
      </c>
      <c r="L43" s="165">
        <f>SUMIF(Ridership[Agency Type], $A43, Ridership[3-Year Average FY25])</f>
        <v>7173558.666666666</v>
      </c>
    </row>
    <row r="44" spans="1:23">
      <c r="A44" s="19" t="s">
        <v>9</v>
      </c>
      <c r="J44" s="165">
        <f>SUMIF(Ridership[Agency Type], $A44, Ridership[3-Year Average FY27])</f>
        <v>1722604.6666666667</v>
      </c>
      <c r="K44" s="165">
        <f>SUMIF(Ridership[Agency Type], $A44, Ridership[3-Year Average FY26])</f>
        <v>1611624.6666666667</v>
      </c>
      <c r="L44" s="165">
        <f>SUMIF(Ridership[Agency Type], $A44, Ridership[3-Year Average FY25])</f>
        <v>1478260.0000000002</v>
      </c>
    </row>
    <row r="46" spans="1:23">
      <c r="G46" s="237"/>
    </row>
    <row r="47" spans="1:23">
      <c r="G47"/>
    </row>
    <row r="48" spans="1:23">
      <c r="F48" s="247"/>
      <c r="G48" s="248"/>
      <c r="H48" s="248"/>
      <c r="I48" s="248"/>
    </row>
    <row r="49" spans="6:9">
      <c r="F49" s="247"/>
      <c r="G49" s="249"/>
      <c r="H49" s="249"/>
      <c r="I49" s="249"/>
    </row>
    <row r="50" spans="6:9">
      <c r="F50" s="247"/>
      <c r="G50" s="249"/>
      <c r="H50" s="249"/>
      <c r="I50" s="249"/>
    </row>
    <row r="51" spans="6:9">
      <c r="F51" s="247"/>
      <c r="G51" s="249"/>
      <c r="H51" s="249"/>
      <c r="I51" s="250"/>
    </row>
  </sheetData>
  <phoneticPr fontId="127" type="noConversion"/>
  <conditionalFormatting sqref="I2:M40">
    <cfRule type="cellIs" dxfId="34" priority="3" operator="lessThan">
      <formula>0</formula>
    </cfRule>
  </conditionalFormatting>
  <conditionalFormatting sqref="O2:P41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25" right="0.25" top="0.75" bottom="0.75" header="0.3" footer="0.3"/>
  <pageSetup scale="83" orientation="portrait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307B-C70C-4826-BB57-B51343D9ADE2}">
  <sheetPr>
    <pageSetUpPr fitToPage="1"/>
  </sheetPr>
  <dimension ref="A1:R47"/>
  <sheetViews>
    <sheetView zoomScale="85" zoomScaleNormal="85" workbookViewId="0">
      <selection activeCell="F1" sqref="A1:F1048576"/>
    </sheetView>
  </sheetViews>
  <sheetFormatPr defaultColWidth="9.28515625" defaultRowHeight="14.25"/>
  <cols>
    <col min="1" max="1" width="48" style="23" bestFit="1" customWidth="1"/>
    <col min="2" max="4" width="23.85546875" style="24" bestFit="1" customWidth="1"/>
    <col min="5" max="5" width="23.85546875" style="23" bestFit="1" customWidth="1"/>
    <col min="6" max="6" width="21.85546875" style="23" bestFit="1" customWidth="1"/>
    <col min="7" max="7" width="16.42578125" style="23" bestFit="1" customWidth="1"/>
    <col min="8" max="8" width="23.85546875" style="165" bestFit="1" customWidth="1"/>
    <col min="9" max="9" width="27.140625" style="165" customWidth="1"/>
    <col min="10" max="10" width="9.28515625" style="23"/>
    <col min="11" max="11" width="46.7109375" style="23" bestFit="1" customWidth="1"/>
    <col min="12" max="12" width="9.28515625" style="23"/>
    <col min="13" max="13" width="13" style="23" customWidth="1"/>
    <col min="14" max="14" width="10.85546875" style="23" bestFit="1" customWidth="1"/>
    <col min="15" max="16" width="9.28515625" style="23"/>
    <col min="17" max="17" width="44.85546875" style="23" bestFit="1" customWidth="1"/>
    <col min="18" max="16384" width="9.28515625" style="23"/>
  </cols>
  <sheetData>
    <row r="1" spans="1:18" ht="15">
      <c r="A1" s="212" t="s">
        <v>206</v>
      </c>
      <c r="B1" s="213" t="s">
        <v>230</v>
      </c>
      <c r="C1" s="213" t="s">
        <v>160</v>
      </c>
      <c r="D1" s="213" t="s">
        <v>140</v>
      </c>
      <c r="E1" s="213" t="s">
        <v>96</v>
      </c>
      <c r="F1" s="214" t="s">
        <v>210</v>
      </c>
      <c r="G1" s="215" t="s">
        <v>211</v>
      </c>
      <c r="H1" s="215" t="s">
        <v>212</v>
      </c>
      <c r="I1" s="869" t="s">
        <v>213</v>
      </c>
      <c r="Q1" s="242"/>
      <c r="R1" s="242"/>
    </row>
    <row r="2" spans="1:18" ht="15">
      <c r="A2" s="208" t="s">
        <v>23</v>
      </c>
      <c r="B2" s="209">
        <v>30762</v>
      </c>
      <c r="C2" s="209">
        <v>32940</v>
      </c>
      <c r="D2" s="209">
        <v>31601</v>
      </c>
      <c r="E2" s="211">
        <v>28183</v>
      </c>
      <c r="F2" s="201" t="s">
        <v>219</v>
      </c>
      <c r="G2">
        <v>1</v>
      </c>
      <c r="H2">
        <v>1</v>
      </c>
      <c r="I2" s="871">
        <f>AVERAGE(VRH[[#This Row],[FY23 Revenue Hours]:[FY25 Revenue Hours]])</f>
        <v>30908</v>
      </c>
      <c r="K2" s="238"/>
      <c r="L2" s="239"/>
      <c r="M2" s="239"/>
      <c r="N2" s="244"/>
      <c r="O2" s="246"/>
      <c r="Q2" s="243"/>
      <c r="R2" s="244"/>
    </row>
    <row r="3" spans="1:18" ht="15">
      <c r="A3" s="208" t="s">
        <v>27</v>
      </c>
      <c r="B3" s="210">
        <v>7303</v>
      </c>
      <c r="C3" s="210">
        <v>7886</v>
      </c>
      <c r="D3" s="210">
        <v>7605</v>
      </c>
      <c r="E3" s="211">
        <v>7578</v>
      </c>
      <c r="F3" s="201" t="s">
        <v>219</v>
      </c>
      <c r="G3">
        <v>2</v>
      </c>
      <c r="H3">
        <v>5</v>
      </c>
      <c r="I3" s="871">
        <f>AVERAGE(VRH[[#This Row],[FY23 Revenue Hours]:[FY25 Revenue Hours]])</f>
        <v>7689.666666666667</v>
      </c>
      <c r="K3" s="238"/>
      <c r="L3" s="239"/>
      <c r="M3" s="239"/>
      <c r="N3" s="244"/>
      <c r="O3" s="246"/>
      <c r="Q3" s="243"/>
      <c r="R3" s="244"/>
    </row>
    <row r="4" spans="1:18" ht="15">
      <c r="A4" s="208" t="s">
        <v>35</v>
      </c>
      <c r="B4" s="211">
        <v>44776</v>
      </c>
      <c r="C4" s="211">
        <v>46711</v>
      </c>
      <c r="D4" s="211">
        <v>48302</v>
      </c>
      <c r="E4" s="211">
        <v>42313</v>
      </c>
      <c r="F4" s="201" t="s">
        <v>219</v>
      </c>
      <c r="G4">
        <v>3</v>
      </c>
      <c r="H4">
        <v>13</v>
      </c>
      <c r="I4" s="871">
        <f>AVERAGE(VRH[[#This Row],[FY23 Revenue Hours]:[FY25 Revenue Hours]])</f>
        <v>45775.333333333336</v>
      </c>
      <c r="K4" s="238"/>
      <c r="L4" s="239"/>
      <c r="M4" s="239"/>
      <c r="N4" s="244"/>
      <c r="O4" s="246"/>
      <c r="Q4" s="243"/>
      <c r="R4" s="244"/>
    </row>
    <row r="5" spans="1:18" ht="15">
      <c r="A5" s="208" t="s">
        <v>45</v>
      </c>
      <c r="B5" s="211">
        <v>40013</v>
      </c>
      <c r="C5" s="211">
        <v>47343</v>
      </c>
      <c r="D5" s="211">
        <v>44163</v>
      </c>
      <c r="E5" s="211">
        <v>43806</v>
      </c>
      <c r="F5" s="201" t="s">
        <v>219</v>
      </c>
      <c r="G5">
        <v>4</v>
      </c>
      <c r="H5">
        <v>23</v>
      </c>
      <c r="I5" s="871">
        <f>AVERAGE(VRH[[#This Row],[FY23 Revenue Hours]:[FY25 Revenue Hours]])</f>
        <v>45104</v>
      </c>
      <c r="K5" s="238"/>
      <c r="L5" s="239"/>
      <c r="M5" s="239"/>
      <c r="N5" s="244"/>
      <c r="O5" s="246"/>
      <c r="Q5" s="243"/>
      <c r="R5" s="244"/>
    </row>
    <row r="6" spans="1:18" ht="15">
      <c r="A6" s="208" t="s">
        <v>58</v>
      </c>
      <c r="B6" s="211">
        <v>7979</v>
      </c>
      <c r="C6" s="211">
        <v>8170</v>
      </c>
      <c r="D6" s="211">
        <v>8168</v>
      </c>
      <c r="E6" s="211">
        <v>7975</v>
      </c>
      <c r="F6" s="201" t="s">
        <v>219</v>
      </c>
      <c r="G6">
        <v>5</v>
      </c>
      <c r="H6">
        <v>36</v>
      </c>
      <c r="I6" s="871">
        <f>AVERAGE(VRH[[#This Row],[FY23 Revenue Hours]:[FY25 Revenue Hours]])</f>
        <v>8104.333333333333</v>
      </c>
      <c r="K6" s="238"/>
      <c r="L6" s="239"/>
      <c r="M6" s="239"/>
      <c r="N6" s="244"/>
      <c r="O6" s="246"/>
      <c r="Q6" s="243"/>
      <c r="R6" s="244"/>
    </row>
    <row r="7" spans="1:18" ht="15">
      <c r="A7" s="208" t="s">
        <v>26</v>
      </c>
      <c r="B7" s="226">
        <v>94012</v>
      </c>
      <c r="C7" s="226">
        <v>113603</v>
      </c>
      <c r="D7" s="226">
        <v>128069</v>
      </c>
      <c r="E7" s="211">
        <v>144029</v>
      </c>
      <c r="F7" s="201" t="s">
        <v>220</v>
      </c>
      <c r="G7">
        <v>6</v>
      </c>
      <c r="H7">
        <v>4</v>
      </c>
      <c r="I7" s="871">
        <f>AVERAGE(VRH[[#This Row],[FY23 Revenue Hours]:[FY25 Revenue Hours]])</f>
        <v>128567</v>
      </c>
      <c r="K7" s="238"/>
      <c r="L7" s="239"/>
      <c r="M7" s="239"/>
      <c r="N7" s="244"/>
      <c r="O7" s="246"/>
      <c r="Q7" s="243"/>
      <c r="R7" s="244"/>
    </row>
    <row r="8" spans="1:18" ht="15">
      <c r="A8" s="208" t="s">
        <v>37</v>
      </c>
      <c r="B8" s="211">
        <v>40268</v>
      </c>
      <c r="C8" s="211">
        <v>37181</v>
      </c>
      <c r="D8" s="211">
        <v>38032</v>
      </c>
      <c r="E8" s="211">
        <v>38381</v>
      </c>
      <c r="F8" s="201" t="s">
        <v>221</v>
      </c>
      <c r="G8">
        <v>7</v>
      </c>
      <c r="H8">
        <v>15</v>
      </c>
      <c r="I8" s="871">
        <f>AVERAGE(VRH[[#This Row],[FY23 Revenue Hours]:[FY25 Revenue Hours]])</f>
        <v>37864.666666666664</v>
      </c>
      <c r="K8" s="238"/>
      <c r="L8" s="239"/>
      <c r="M8" s="239"/>
      <c r="N8" s="244"/>
      <c r="O8" s="246"/>
      <c r="Q8" s="243"/>
      <c r="R8" s="244"/>
    </row>
    <row r="9" spans="1:18" ht="15">
      <c r="A9" s="208" t="s">
        <v>31</v>
      </c>
      <c r="B9" s="210">
        <v>21618</v>
      </c>
      <c r="C9" s="210">
        <v>22410</v>
      </c>
      <c r="D9" s="210">
        <v>24727.8</v>
      </c>
      <c r="E9" s="211">
        <v>24537</v>
      </c>
      <c r="F9" s="201" t="s">
        <v>222</v>
      </c>
      <c r="G9">
        <v>8</v>
      </c>
      <c r="H9">
        <v>9</v>
      </c>
      <c r="I9" s="871">
        <f>AVERAGE(VRH[[#This Row],[FY23 Revenue Hours]:[FY25 Revenue Hours]])</f>
        <v>23891.600000000002</v>
      </c>
      <c r="K9" s="238"/>
      <c r="L9" s="239"/>
      <c r="M9" s="239"/>
      <c r="N9" s="244"/>
      <c r="O9" s="246"/>
      <c r="Q9" s="243"/>
      <c r="R9" s="244"/>
    </row>
    <row r="10" spans="1:18" ht="15">
      <c r="A10" s="208" t="s">
        <v>41</v>
      </c>
      <c r="B10" s="211">
        <v>3090</v>
      </c>
      <c r="C10" s="211">
        <v>3108</v>
      </c>
      <c r="D10" s="211">
        <v>2826</v>
      </c>
      <c r="E10" s="211">
        <v>3025</v>
      </c>
      <c r="F10" s="201" t="s">
        <v>222</v>
      </c>
      <c r="G10">
        <v>9</v>
      </c>
      <c r="H10">
        <v>19</v>
      </c>
      <c r="I10" s="871">
        <f>AVERAGE(VRH[[#This Row],[FY23 Revenue Hours]:[FY25 Revenue Hours]])</f>
        <v>2986.3333333333335</v>
      </c>
      <c r="K10" s="238"/>
      <c r="L10" s="239"/>
      <c r="M10" s="239"/>
      <c r="N10" s="244"/>
      <c r="O10" s="246"/>
      <c r="Q10" s="243"/>
      <c r="R10" s="244"/>
    </row>
    <row r="11" spans="1:18" ht="15">
      <c r="A11" s="208" t="s">
        <v>42</v>
      </c>
      <c r="B11" s="211">
        <v>886831</v>
      </c>
      <c r="C11" s="211">
        <v>955047</v>
      </c>
      <c r="D11" s="211">
        <v>1002985.3500000001</v>
      </c>
      <c r="E11" s="211">
        <v>935916</v>
      </c>
      <c r="F11" s="201" t="s">
        <v>222</v>
      </c>
      <c r="G11">
        <v>10</v>
      </c>
      <c r="H11">
        <v>20</v>
      </c>
      <c r="I11" s="871">
        <f>AVERAGE(VRH[[#This Row],[FY23 Revenue Hours]:[FY25 Revenue Hours]])</f>
        <v>964649.45000000007</v>
      </c>
      <c r="K11" s="238"/>
      <c r="L11" s="239"/>
      <c r="M11" s="239"/>
      <c r="N11" s="244"/>
      <c r="O11" s="246"/>
      <c r="Q11" s="243"/>
      <c r="R11" s="244"/>
    </row>
    <row r="12" spans="1:18" ht="15">
      <c r="A12" s="208" t="s">
        <v>53</v>
      </c>
      <c r="B12" s="211">
        <v>20345</v>
      </c>
      <c r="C12" s="211">
        <v>20260</v>
      </c>
      <c r="D12" s="211">
        <v>20119</v>
      </c>
      <c r="E12" s="211">
        <v>21730</v>
      </c>
      <c r="F12" s="201" t="s">
        <v>222</v>
      </c>
      <c r="G12">
        <v>11</v>
      </c>
      <c r="H12">
        <v>31</v>
      </c>
      <c r="I12" s="871">
        <f>AVERAGE(VRH[[#This Row],[FY23 Revenue Hours]:[FY25 Revenue Hours]])</f>
        <v>20703</v>
      </c>
      <c r="K12" s="238"/>
      <c r="L12" s="239"/>
      <c r="M12" s="239"/>
      <c r="N12" s="244"/>
      <c r="O12" s="246"/>
      <c r="Q12" s="243"/>
      <c r="R12" s="244"/>
    </row>
    <row r="13" spans="1:18" ht="15">
      <c r="A13" s="208" t="s">
        <v>59</v>
      </c>
      <c r="B13" s="211">
        <v>880</v>
      </c>
      <c r="C13" s="211">
        <v>502</v>
      </c>
      <c r="D13" s="211">
        <v>1389</v>
      </c>
      <c r="E13" s="211">
        <v>953</v>
      </c>
      <c r="F13" s="201" t="s">
        <v>222</v>
      </c>
      <c r="G13">
        <v>12</v>
      </c>
      <c r="H13">
        <v>37</v>
      </c>
      <c r="I13" s="871">
        <f>AVERAGE(VRH[[#This Row],[FY23 Revenue Hours]:[FY25 Revenue Hours]])</f>
        <v>948</v>
      </c>
      <c r="K13" s="238"/>
      <c r="L13" s="239"/>
      <c r="M13" s="239"/>
      <c r="N13" s="244"/>
      <c r="O13" s="246"/>
      <c r="Q13" s="243"/>
      <c r="R13" s="244"/>
    </row>
    <row r="14" spans="1:18" ht="15">
      <c r="A14" s="208" t="s">
        <v>61</v>
      </c>
      <c r="B14" s="211">
        <v>79332</v>
      </c>
      <c r="C14" s="211">
        <v>71283</v>
      </c>
      <c r="D14" s="211">
        <v>68607</v>
      </c>
      <c r="E14" s="211">
        <v>69229</v>
      </c>
      <c r="F14" s="201" t="s">
        <v>222</v>
      </c>
      <c r="G14">
        <v>13</v>
      </c>
      <c r="H14">
        <v>39</v>
      </c>
      <c r="I14" s="871">
        <f>AVERAGE(VRH[[#This Row],[FY23 Revenue Hours]:[FY25 Revenue Hours]])</f>
        <v>69706.333333333328</v>
      </c>
      <c r="K14" s="238"/>
      <c r="L14" s="239"/>
      <c r="M14" s="239"/>
      <c r="N14" s="244"/>
      <c r="O14" s="246"/>
      <c r="Q14" s="243"/>
      <c r="R14" s="244"/>
    </row>
    <row r="15" spans="1:18" ht="15">
      <c r="A15" s="208" t="s">
        <v>34</v>
      </c>
      <c r="B15" s="211">
        <v>35273</v>
      </c>
      <c r="C15" s="211">
        <v>29937</v>
      </c>
      <c r="D15" s="211">
        <v>34940</v>
      </c>
      <c r="E15" s="211">
        <v>32391</v>
      </c>
      <c r="F15" s="201" t="s">
        <v>223</v>
      </c>
      <c r="G15">
        <v>14</v>
      </c>
      <c r="H15">
        <v>12</v>
      </c>
      <c r="I15" s="871">
        <f>AVERAGE(VRH[[#This Row],[FY23 Revenue Hours]:[FY25 Revenue Hours]])</f>
        <v>32422.666666666668</v>
      </c>
      <c r="K15" s="238"/>
      <c r="L15" s="239"/>
      <c r="M15" s="239"/>
      <c r="N15" s="244"/>
      <c r="O15" s="246"/>
      <c r="Q15" s="243"/>
      <c r="R15" s="244"/>
    </row>
    <row r="16" spans="1:18" ht="15">
      <c r="A16" s="208" t="s">
        <v>36</v>
      </c>
      <c r="B16" s="211">
        <v>11837</v>
      </c>
      <c r="C16" s="211">
        <v>11560</v>
      </c>
      <c r="D16" s="211">
        <v>11193</v>
      </c>
      <c r="E16" s="211">
        <v>11641</v>
      </c>
      <c r="F16" s="201" t="s">
        <v>223</v>
      </c>
      <c r="G16">
        <v>15</v>
      </c>
      <c r="H16">
        <v>14</v>
      </c>
      <c r="I16" s="871">
        <f>AVERAGE(VRH[[#This Row],[FY23 Revenue Hours]:[FY25 Revenue Hours]])</f>
        <v>11464.666666666666</v>
      </c>
      <c r="K16" s="238"/>
      <c r="L16" s="239"/>
      <c r="M16" s="239"/>
      <c r="N16" s="244"/>
      <c r="O16" s="246"/>
      <c r="Q16" s="243"/>
      <c r="R16" s="244"/>
    </row>
    <row r="17" spans="1:18" ht="15">
      <c r="A17" s="208" t="s">
        <v>38</v>
      </c>
      <c r="B17" s="211">
        <v>74332</v>
      </c>
      <c r="C17" s="211">
        <v>79599</v>
      </c>
      <c r="D17" s="211">
        <v>80007.260000000009</v>
      </c>
      <c r="E17" s="211">
        <v>82740</v>
      </c>
      <c r="F17" s="201" t="s">
        <v>223</v>
      </c>
      <c r="G17">
        <v>16</v>
      </c>
      <c r="H17">
        <v>16</v>
      </c>
      <c r="I17" s="871">
        <f>AVERAGE(VRH[[#This Row],[FY23 Revenue Hours]:[FY25 Revenue Hours]])</f>
        <v>80782.08666666667</v>
      </c>
      <c r="K17" s="238"/>
      <c r="L17" s="239"/>
      <c r="M17" s="239"/>
      <c r="N17" s="244"/>
      <c r="O17" s="246"/>
      <c r="Q17" s="243"/>
      <c r="R17" s="244"/>
    </row>
    <row r="18" spans="1:18" ht="15">
      <c r="A18" s="208" t="s">
        <v>54</v>
      </c>
      <c r="B18" s="211">
        <v>3043</v>
      </c>
      <c r="C18" s="211">
        <v>3028</v>
      </c>
      <c r="D18" s="211">
        <v>3004</v>
      </c>
      <c r="E18" s="211">
        <v>3083</v>
      </c>
      <c r="F18" s="201" t="s">
        <v>223</v>
      </c>
      <c r="G18">
        <v>17</v>
      </c>
      <c r="H18">
        <v>32</v>
      </c>
      <c r="I18" s="871">
        <f>AVERAGE(VRH[[#This Row],[FY23 Revenue Hours]:[FY25 Revenue Hours]])</f>
        <v>3038.3333333333335</v>
      </c>
      <c r="K18" s="238"/>
      <c r="L18" s="239"/>
      <c r="M18" s="239"/>
      <c r="N18" s="244"/>
      <c r="O18" s="246"/>
      <c r="Q18" s="243"/>
      <c r="R18" s="244"/>
    </row>
    <row r="19" spans="1:18" ht="15">
      <c r="A19" s="208" t="s">
        <v>33</v>
      </c>
      <c r="B19" s="226">
        <f>88663</f>
        <v>88663</v>
      </c>
      <c r="C19" s="226">
        <f>108286</f>
        <v>108286</v>
      </c>
      <c r="D19" s="226">
        <f>160073</f>
        <v>160073</v>
      </c>
      <c r="E19" s="233">
        <f>171928</f>
        <v>171928</v>
      </c>
      <c r="F19" s="201" t="s">
        <v>224</v>
      </c>
      <c r="G19">
        <v>18</v>
      </c>
      <c r="H19">
        <v>11</v>
      </c>
      <c r="I19" s="871">
        <f>AVERAGE(VRH[[#This Row],[FY23 Revenue Hours]:[FY25 Revenue Hours]])</f>
        <v>146762.33333333334</v>
      </c>
      <c r="K19" s="238"/>
      <c r="L19" s="239"/>
      <c r="M19" s="239"/>
      <c r="N19" s="244"/>
      <c r="O19" s="246"/>
      <c r="Q19" s="243"/>
      <c r="R19" s="244"/>
    </row>
    <row r="20" spans="1:18" ht="15">
      <c r="A20" s="208" t="s">
        <v>46</v>
      </c>
      <c r="B20" s="211">
        <v>204460</v>
      </c>
      <c r="C20" s="211">
        <v>216250</v>
      </c>
      <c r="D20" s="211">
        <v>230883</v>
      </c>
      <c r="E20" s="211">
        <v>225969</v>
      </c>
      <c r="F20" s="201" t="s">
        <v>224</v>
      </c>
      <c r="G20">
        <v>19</v>
      </c>
      <c r="H20">
        <v>24</v>
      </c>
      <c r="I20" s="871">
        <f>AVERAGE(VRH[[#This Row],[FY23 Revenue Hours]:[FY25 Revenue Hours]])</f>
        <v>224367.33333333334</v>
      </c>
      <c r="K20" s="238"/>
      <c r="L20" s="239"/>
      <c r="M20" s="239"/>
      <c r="N20" s="244"/>
      <c r="O20" s="246"/>
      <c r="Q20" s="243"/>
      <c r="R20" s="244"/>
    </row>
    <row r="21" spans="1:18" ht="15">
      <c r="A21" s="208" t="s">
        <v>47</v>
      </c>
      <c r="B21" s="211">
        <v>276476</v>
      </c>
      <c r="C21" s="211">
        <v>310607</v>
      </c>
      <c r="D21" s="211">
        <v>308856.31</v>
      </c>
      <c r="E21" s="211">
        <v>318474</v>
      </c>
      <c r="F21" s="201" t="s">
        <v>224</v>
      </c>
      <c r="G21">
        <v>20</v>
      </c>
      <c r="H21">
        <v>25</v>
      </c>
      <c r="I21" s="871">
        <f>AVERAGE(VRH[[#This Row],[FY23 Revenue Hours]:[FY25 Revenue Hours]])</f>
        <v>312645.77</v>
      </c>
      <c r="K21" s="238"/>
      <c r="L21" s="239"/>
      <c r="M21" s="239"/>
      <c r="N21" s="244"/>
      <c r="O21" s="246"/>
      <c r="Q21" s="243"/>
      <c r="R21" s="244"/>
    </row>
    <row r="22" spans="1:18" ht="15">
      <c r="A22" s="208" t="s">
        <v>48</v>
      </c>
      <c r="B22" s="211">
        <v>35046</v>
      </c>
      <c r="C22" s="211">
        <v>34638</v>
      </c>
      <c r="D22" s="211">
        <v>34526</v>
      </c>
      <c r="E22" s="211">
        <v>34553</v>
      </c>
      <c r="F22" s="201" t="s">
        <v>224</v>
      </c>
      <c r="G22">
        <v>21</v>
      </c>
      <c r="H22">
        <v>26</v>
      </c>
      <c r="I22" s="871">
        <f>AVERAGE(VRH[[#This Row],[FY23 Revenue Hours]:[FY25 Revenue Hours]])</f>
        <v>34572.333333333336</v>
      </c>
      <c r="K22" s="238"/>
      <c r="L22" s="239"/>
      <c r="M22" s="239"/>
      <c r="N22" s="244"/>
      <c r="O22" s="246"/>
      <c r="Q22" s="243"/>
      <c r="R22" s="244"/>
    </row>
    <row r="23" spans="1:18" ht="15">
      <c r="A23" s="208" t="s">
        <v>49</v>
      </c>
      <c r="B23" s="226">
        <f>840428</f>
        <v>840428</v>
      </c>
      <c r="C23" s="211">
        <v>848788</v>
      </c>
      <c r="D23" s="211">
        <v>819202.73699999996</v>
      </c>
      <c r="E23" s="211">
        <v>879010</v>
      </c>
      <c r="F23" s="201" t="s">
        <v>224</v>
      </c>
      <c r="G23">
        <v>22</v>
      </c>
      <c r="H23">
        <v>27</v>
      </c>
      <c r="I23" s="871">
        <f>AVERAGE(VRH[[#This Row],[FY23 Revenue Hours]:[FY25 Revenue Hours]])</f>
        <v>849000.24566666654</v>
      </c>
      <c r="K23" s="238"/>
      <c r="L23" s="239"/>
      <c r="M23" s="239"/>
      <c r="N23" s="244"/>
      <c r="O23" s="246"/>
      <c r="Q23" s="243"/>
      <c r="R23" s="244"/>
    </row>
    <row r="24" spans="1:18" ht="15">
      <c r="A24" s="208" t="s">
        <v>50</v>
      </c>
      <c r="B24" s="226">
        <f>147080</f>
        <v>147080</v>
      </c>
      <c r="C24" s="226">
        <f>142232</f>
        <v>142232</v>
      </c>
      <c r="D24" s="226">
        <f>174456.2</f>
        <v>174456.2</v>
      </c>
      <c r="E24" s="233">
        <v>196723.52001949801</v>
      </c>
      <c r="F24" s="201" t="s">
        <v>224</v>
      </c>
      <c r="G24">
        <v>23</v>
      </c>
      <c r="H24">
        <v>28</v>
      </c>
      <c r="I24" s="871">
        <f>AVERAGE(VRH[[#This Row],[FY23 Revenue Hours]:[FY25 Revenue Hours]])</f>
        <v>171137.24000649934</v>
      </c>
      <c r="K24" s="238"/>
      <c r="L24" s="239"/>
      <c r="M24" s="239"/>
      <c r="N24" s="244"/>
      <c r="O24" s="246"/>
      <c r="Q24" s="243"/>
      <c r="R24" s="244"/>
    </row>
    <row r="25" spans="1:18" ht="15">
      <c r="A25" s="208" t="s">
        <v>29</v>
      </c>
      <c r="B25" s="211">
        <v>47286</v>
      </c>
      <c r="C25" s="211">
        <v>43849</v>
      </c>
      <c r="D25" s="211">
        <v>41575</v>
      </c>
      <c r="E25" s="211">
        <v>44373</v>
      </c>
      <c r="F25" s="201" t="s">
        <v>225</v>
      </c>
      <c r="G25">
        <v>24</v>
      </c>
      <c r="H25">
        <v>7</v>
      </c>
      <c r="I25" s="871">
        <f>AVERAGE(VRH[[#This Row],[FY23 Revenue Hours]:[FY25 Revenue Hours]])</f>
        <v>43265.666666666664</v>
      </c>
      <c r="K25" s="238"/>
      <c r="L25" s="239"/>
      <c r="M25" s="239"/>
      <c r="N25" s="244"/>
      <c r="O25" s="246"/>
      <c r="Q25" s="243"/>
      <c r="R25" s="244"/>
    </row>
    <row r="26" spans="1:18" ht="15">
      <c r="A26" s="208" t="s">
        <v>39</v>
      </c>
      <c r="B26" s="211">
        <v>589217</v>
      </c>
      <c r="C26" s="226">
        <f>582073</f>
        <v>582073</v>
      </c>
      <c r="D26" s="226">
        <f>631194</f>
        <v>631194</v>
      </c>
      <c r="E26" s="233">
        <v>735603</v>
      </c>
      <c r="F26" s="201" t="s">
        <v>225</v>
      </c>
      <c r="G26">
        <v>25</v>
      </c>
      <c r="H26">
        <v>17</v>
      </c>
      <c r="I26" s="871">
        <f>AVERAGE(VRH[[#This Row],[FY23 Revenue Hours]:[FY25 Revenue Hours]])</f>
        <v>649623.33333333337</v>
      </c>
      <c r="K26" s="238"/>
      <c r="L26" s="239"/>
      <c r="M26" s="239"/>
      <c r="N26" s="244"/>
      <c r="O26" s="246"/>
      <c r="Q26" s="243"/>
      <c r="R26" s="244"/>
    </row>
    <row r="27" spans="1:18" ht="15">
      <c r="A27" s="208" t="s">
        <v>55</v>
      </c>
      <c r="B27" s="211">
        <v>0</v>
      </c>
      <c r="C27" s="211">
        <v>1065</v>
      </c>
      <c r="D27" s="211">
        <v>1636</v>
      </c>
      <c r="E27" s="211">
        <v>1600</v>
      </c>
      <c r="F27" s="201" t="s">
        <v>226</v>
      </c>
      <c r="G27">
        <v>26</v>
      </c>
      <c r="H27">
        <v>33</v>
      </c>
      <c r="I27" s="871">
        <f>AVERAGE(VRH[[#This Row],[FY23 Revenue Hours]:[FY25 Revenue Hours]])</f>
        <v>1433.6666666666667</v>
      </c>
      <c r="K27" s="238"/>
      <c r="L27" s="239"/>
      <c r="M27" s="239"/>
      <c r="N27" s="244"/>
      <c r="O27" s="246"/>
      <c r="Q27" s="243"/>
      <c r="R27" s="244"/>
    </row>
    <row r="28" spans="1:18" ht="15">
      <c r="A28" s="208" t="s">
        <v>56</v>
      </c>
      <c r="B28" s="211">
        <v>100136</v>
      </c>
      <c r="C28" s="211">
        <v>92885</v>
      </c>
      <c r="D28" s="211">
        <v>99331.900000000009</v>
      </c>
      <c r="E28" s="211">
        <v>121490</v>
      </c>
      <c r="F28" s="201" t="s">
        <v>226</v>
      </c>
      <c r="G28">
        <v>27</v>
      </c>
      <c r="H28">
        <v>34</v>
      </c>
      <c r="I28" s="871">
        <f>AVERAGE(VRH[[#This Row],[FY23 Revenue Hours]:[FY25 Revenue Hours]])</f>
        <v>104568.96666666667</v>
      </c>
      <c r="K28" s="238"/>
      <c r="L28" s="239"/>
      <c r="M28" s="239"/>
      <c r="N28" s="244"/>
      <c r="O28" s="246"/>
      <c r="Q28" s="243"/>
      <c r="R28" s="244"/>
    </row>
    <row r="29" spans="1:18" ht="15">
      <c r="A29" s="208" t="s">
        <v>30</v>
      </c>
      <c r="B29" s="211">
        <v>31063</v>
      </c>
      <c r="C29" s="211">
        <v>32095</v>
      </c>
      <c r="D29" s="211">
        <v>36673.339999999997</v>
      </c>
      <c r="E29" s="211">
        <v>35518.39</v>
      </c>
      <c r="F29" s="201" t="s">
        <v>226</v>
      </c>
      <c r="G29">
        <v>28</v>
      </c>
      <c r="H29">
        <v>8</v>
      </c>
      <c r="I29" s="871">
        <f>AVERAGE(VRH[[#This Row],[FY23 Revenue Hours]:[FY25 Revenue Hours]])</f>
        <v>34762.243333333332</v>
      </c>
      <c r="K29" s="238"/>
      <c r="L29" s="239"/>
      <c r="M29" s="239"/>
      <c r="N29" s="244"/>
      <c r="O29" s="246"/>
      <c r="Q29" s="243"/>
      <c r="R29" s="244"/>
    </row>
    <row r="30" spans="1:18" ht="15">
      <c r="A30" s="208" t="s">
        <v>40</v>
      </c>
      <c r="B30" s="211">
        <v>155800</v>
      </c>
      <c r="C30" s="211">
        <v>141516</v>
      </c>
      <c r="D30" s="211">
        <v>143067</v>
      </c>
      <c r="E30" s="211">
        <v>156195</v>
      </c>
      <c r="F30" s="201" t="s">
        <v>226</v>
      </c>
      <c r="G30">
        <v>29</v>
      </c>
      <c r="H30">
        <v>18</v>
      </c>
      <c r="I30" s="871">
        <f>AVERAGE(VRH[[#This Row],[FY23 Revenue Hours]:[FY25 Revenue Hours]])</f>
        <v>146926</v>
      </c>
      <c r="K30" s="238"/>
      <c r="L30" s="239"/>
      <c r="M30" s="239"/>
      <c r="N30" s="244"/>
      <c r="O30" s="246"/>
      <c r="Q30" s="243"/>
      <c r="R30" s="244"/>
    </row>
    <row r="31" spans="1:18" ht="15">
      <c r="A31" s="208" t="s">
        <v>51</v>
      </c>
      <c r="B31" s="211">
        <v>19090</v>
      </c>
      <c r="C31" s="211">
        <v>18878</v>
      </c>
      <c r="D31" s="211">
        <v>18710.25</v>
      </c>
      <c r="E31" s="211">
        <v>18376</v>
      </c>
      <c r="F31" s="201" t="s">
        <v>226</v>
      </c>
      <c r="G31">
        <v>30</v>
      </c>
      <c r="H31">
        <v>29</v>
      </c>
      <c r="I31" s="871">
        <f>AVERAGE(VRH[[#This Row],[FY23 Revenue Hours]:[FY25 Revenue Hours]])</f>
        <v>18654.75</v>
      </c>
      <c r="K31" s="238"/>
      <c r="L31" s="239"/>
      <c r="M31" s="239"/>
      <c r="N31" s="244"/>
      <c r="O31" s="246"/>
      <c r="Q31" s="243"/>
      <c r="R31" s="244"/>
    </row>
    <row r="32" spans="1:18" ht="15">
      <c r="A32" s="208" t="s">
        <v>25</v>
      </c>
      <c r="B32" s="211">
        <v>36937</v>
      </c>
      <c r="C32" s="211">
        <v>37781</v>
      </c>
      <c r="D32" s="211">
        <v>36534.629999999997</v>
      </c>
      <c r="E32" s="211">
        <v>36644</v>
      </c>
      <c r="F32" s="201" t="s">
        <v>227</v>
      </c>
      <c r="G32">
        <v>31</v>
      </c>
      <c r="H32">
        <v>3</v>
      </c>
      <c r="I32" s="871">
        <f>AVERAGE(VRH[[#This Row],[FY23 Revenue Hours]:[FY25 Revenue Hours]])</f>
        <v>36986.543333333335</v>
      </c>
      <c r="K32" s="238"/>
      <c r="L32" s="239"/>
      <c r="M32" s="239"/>
      <c r="N32" s="244"/>
      <c r="O32" s="246"/>
      <c r="Q32" s="243"/>
      <c r="R32" s="244"/>
    </row>
    <row r="33" spans="1:18" ht="15">
      <c r="A33" s="208" t="s">
        <v>28</v>
      </c>
      <c r="B33" s="211">
        <v>74536</v>
      </c>
      <c r="C33" s="211">
        <v>72014</v>
      </c>
      <c r="D33" s="211">
        <v>76614</v>
      </c>
      <c r="E33" s="211">
        <v>78270</v>
      </c>
      <c r="F33" s="201" t="s">
        <v>227</v>
      </c>
      <c r="G33">
        <v>32</v>
      </c>
      <c r="H33">
        <v>6</v>
      </c>
      <c r="I33" s="871">
        <f>AVERAGE(VRH[[#This Row],[FY23 Revenue Hours]:[FY25 Revenue Hours]])</f>
        <v>75632.666666666672</v>
      </c>
      <c r="K33" s="238"/>
      <c r="L33" s="239"/>
      <c r="M33" s="239"/>
      <c r="N33" s="244"/>
      <c r="O33" s="246"/>
      <c r="Q33" s="243"/>
      <c r="R33" s="244"/>
    </row>
    <row r="34" spans="1:18" ht="15">
      <c r="A34" s="208" t="s">
        <v>32</v>
      </c>
      <c r="B34" s="211">
        <v>17310</v>
      </c>
      <c r="C34" s="211">
        <v>20219</v>
      </c>
      <c r="D34" s="211">
        <v>25268</v>
      </c>
      <c r="E34" s="211">
        <v>27972</v>
      </c>
      <c r="F34" s="201" t="s">
        <v>227</v>
      </c>
      <c r="G34">
        <v>33</v>
      </c>
      <c r="H34">
        <v>10</v>
      </c>
      <c r="I34" s="871">
        <f>AVERAGE(VRH[[#This Row],[FY23 Revenue Hours]:[FY25 Revenue Hours]])</f>
        <v>24486.333333333332</v>
      </c>
      <c r="K34" s="238"/>
      <c r="L34" s="239"/>
      <c r="M34" s="239"/>
      <c r="N34" s="244"/>
      <c r="O34" s="246"/>
      <c r="Q34" s="243"/>
      <c r="R34" s="244"/>
    </row>
    <row r="35" spans="1:18" ht="15">
      <c r="A35" s="208" t="s">
        <v>24</v>
      </c>
      <c r="B35" s="211">
        <v>60586</v>
      </c>
      <c r="C35" s="211">
        <v>61652</v>
      </c>
      <c r="D35" s="211">
        <v>61710.71</v>
      </c>
      <c r="E35" s="211">
        <v>59749</v>
      </c>
      <c r="F35" s="201" t="s">
        <v>228</v>
      </c>
      <c r="G35">
        <v>34</v>
      </c>
      <c r="H35">
        <v>2</v>
      </c>
      <c r="I35" s="871">
        <f>AVERAGE(VRH[[#This Row],[FY23 Revenue Hours]:[FY25 Revenue Hours]])</f>
        <v>61037.236666666664</v>
      </c>
      <c r="K35" s="238"/>
      <c r="L35" s="239"/>
      <c r="M35" s="239"/>
      <c r="N35" s="244"/>
      <c r="O35" s="246"/>
      <c r="Q35" s="243"/>
      <c r="R35" s="244"/>
    </row>
    <row r="36" spans="1:18" ht="15">
      <c r="A36" s="208" t="s">
        <v>57</v>
      </c>
      <c r="B36" s="211">
        <v>15570</v>
      </c>
      <c r="C36" s="211">
        <v>15538</v>
      </c>
      <c r="D36" s="211">
        <v>15534</v>
      </c>
      <c r="E36" s="211">
        <v>14739</v>
      </c>
      <c r="F36" s="201" t="s">
        <v>228</v>
      </c>
      <c r="G36">
        <v>35</v>
      </c>
      <c r="H36">
        <v>35</v>
      </c>
      <c r="I36" s="871">
        <f>AVERAGE(VRH[[#This Row],[FY23 Revenue Hours]:[FY25 Revenue Hours]])</f>
        <v>15270.333333333334</v>
      </c>
      <c r="K36" s="238"/>
      <c r="L36" s="239"/>
      <c r="M36" s="239"/>
      <c r="N36" s="244"/>
      <c r="O36" s="246"/>
      <c r="Q36" s="243"/>
      <c r="R36" s="244"/>
    </row>
    <row r="37" spans="1:18" ht="15">
      <c r="A37" s="208" t="s">
        <v>43</v>
      </c>
      <c r="B37" s="226">
        <v>39833</v>
      </c>
      <c r="C37" s="226">
        <v>46573</v>
      </c>
      <c r="D37" s="226">
        <v>46101.396664300002</v>
      </c>
      <c r="E37" s="211">
        <v>45862</v>
      </c>
      <c r="F37" s="201" t="s">
        <v>228</v>
      </c>
      <c r="G37">
        <v>36</v>
      </c>
      <c r="H37">
        <v>21</v>
      </c>
      <c r="I37" s="871">
        <f>AVERAGE(VRH[[#This Row],[FY23 Revenue Hours]:[FY25 Revenue Hours]])</f>
        <v>46178.798888099998</v>
      </c>
      <c r="K37" s="238"/>
      <c r="L37" s="239"/>
      <c r="M37" s="239"/>
      <c r="N37" s="244"/>
      <c r="O37" s="246"/>
      <c r="Q37" s="243"/>
      <c r="R37" s="244"/>
    </row>
    <row r="38" spans="1:18" ht="15">
      <c r="A38" s="208" t="s">
        <v>44</v>
      </c>
      <c r="B38" s="211">
        <v>5390</v>
      </c>
      <c r="C38" s="211">
        <v>5322</v>
      </c>
      <c r="D38" s="211">
        <v>5064</v>
      </c>
      <c r="E38" s="211">
        <v>5116</v>
      </c>
      <c r="F38" s="201" t="s">
        <v>228</v>
      </c>
      <c r="G38">
        <v>37</v>
      </c>
      <c r="H38">
        <v>22</v>
      </c>
      <c r="I38" s="871">
        <f>AVERAGE(VRH[[#This Row],[FY23 Revenue Hours]:[FY25 Revenue Hours]])</f>
        <v>5167.333333333333</v>
      </c>
      <c r="K38" s="238"/>
      <c r="L38" s="239"/>
      <c r="M38" s="239"/>
      <c r="N38" s="244"/>
      <c r="O38" s="246"/>
      <c r="Q38" s="243"/>
      <c r="R38" s="244"/>
    </row>
    <row r="39" spans="1:18" ht="15">
      <c r="A39" s="208" t="s">
        <v>52</v>
      </c>
      <c r="B39" s="211">
        <v>18141</v>
      </c>
      <c r="C39" s="211">
        <v>18247</v>
      </c>
      <c r="D39" s="211">
        <v>18443</v>
      </c>
      <c r="E39" s="211">
        <v>17965</v>
      </c>
      <c r="F39" s="201" t="s">
        <v>228</v>
      </c>
      <c r="G39">
        <v>38</v>
      </c>
      <c r="H39">
        <v>30</v>
      </c>
      <c r="I39" s="871">
        <f>AVERAGE(VRH[[#This Row],[FY23 Revenue Hours]:[FY25 Revenue Hours]])</f>
        <v>18218.333333333332</v>
      </c>
      <c r="K39" s="238"/>
      <c r="L39" s="239"/>
      <c r="M39" s="239"/>
      <c r="N39" s="244"/>
      <c r="O39" s="246"/>
      <c r="Q39" s="243"/>
      <c r="R39" s="244"/>
    </row>
    <row r="40" spans="1:18" ht="15">
      <c r="A40" s="208" t="s">
        <v>60</v>
      </c>
      <c r="B40" s="211">
        <v>60519</v>
      </c>
      <c r="C40" s="226">
        <v>63759</v>
      </c>
      <c r="D40" s="211">
        <v>63064.05</v>
      </c>
      <c r="E40" s="211">
        <v>65376</v>
      </c>
      <c r="F40" s="201" t="s">
        <v>228</v>
      </c>
      <c r="G40">
        <v>39</v>
      </c>
      <c r="H40">
        <v>38</v>
      </c>
      <c r="I40" s="871">
        <f>AVERAGE(VRH[[#This Row],[FY23 Revenue Hours]:[FY25 Revenue Hours]])</f>
        <v>64066.35</v>
      </c>
      <c r="K40" s="238"/>
      <c r="L40" s="239"/>
      <c r="M40" s="239"/>
      <c r="N40" s="244"/>
      <c r="O40" s="246"/>
      <c r="Q40" s="243"/>
      <c r="R40" s="244"/>
    </row>
    <row r="41" spans="1:18">
      <c r="A41" s="208" t="s">
        <v>229</v>
      </c>
      <c r="B41" s="216">
        <f>SUM(B2:B40)</f>
        <v>4265261</v>
      </c>
      <c r="C41" s="216">
        <f>SUM(C2:C40)</f>
        <v>4404835</v>
      </c>
      <c r="D41" s="216">
        <f>SUM(D2:D40)</f>
        <v>4604256.9336642995</v>
      </c>
      <c r="E41" s="216">
        <f>SUM(E2:E40)</f>
        <v>4789015.9100194974</v>
      </c>
      <c r="F41" s="217" t="s">
        <v>173</v>
      </c>
      <c r="G41" s="26" t="s">
        <v>173</v>
      </c>
      <c r="H41" s="218" t="s">
        <v>173</v>
      </c>
    </row>
    <row r="42" spans="1:18">
      <c r="B42" s="25"/>
      <c r="C42" s="21"/>
    </row>
    <row r="45" spans="1:18">
      <c r="D45" s="237"/>
    </row>
    <row r="46" spans="1:18">
      <c r="D46"/>
    </row>
    <row r="47" spans="1:18">
      <c r="D47" s="237"/>
    </row>
  </sheetData>
  <conditionalFormatting sqref="H2:H40">
    <cfRule type="cellIs" dxfId="31" priority="1" operator="lessThan">
      <formula>0</formula>
    </cfRule>
  </conditionalFormatting>
  <conditionalFormatting sqref="I2:I40">
    <cfRule type="cellIs" dxfId="30" priority="2" operator="lessThan">
      <formula>0</formula>
    </cfRule>
  </conditionalFormatting>
  <pageMargins left="0.25" right="0.25" top="0.75" bottom="0.75" header="0.3" footer="0.3"/>
  <pageSetup scale="83" orientation="portrait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EFE4-9E0E-4916-B65F-75C8EA9DED46}">
  <sheetPr>
    <pageSetUpPr fitToPage="1"/>
  </sheetPr>
  <dimension ref="A1:O44"/>
  <sheetViews>
    <sheetView zoomScale="60" zoomScaleNormal="60" workbookViewId="0">
      <selection activeCell="F1" sqref="A1:F1048576"/>
    </sheetView>
  </sheetViews>
  <sheetFormatPr defaultColWidth="9.28515625" defaultRowHeight="14.25"/>
  <cols>
    <col min="1" max="1" width="48" style="23" bestFit="1" customWidth="1"/>
    <col min="2" max="2" width="22.140625" style="23" customWidth="1"/>
    <col min="3" max="5" width="23.85546875" style="24" bestFit="1" customWidth="1"/>
    <col min="6" max="6" width="23.85546875" style="23" bestFit="1" customWidth="1"/>
    <col min="7" max="7" width="21.85546875" style="23" bestFit="1" customWidth="1"/>
    <col min="8" max="8" width="16.42578125" style="23" bestFit="1" customWidth="1"/>
    <col min="9" max="9" width="23.85546875" style="165" bestFit="1" customWidth="1"/>
    <col min="10" max="12" width="20.140625" style="165" customWidth="1"/>
    <col min="13" max="13" width="18" style="23" customWidth="1"/>
    <col min="14" max="14" width="20.7109375" style="23" bestFit="1" customWidth="1"/>
    <col min="15" max="16384" width="9.28515625" style="23"/>
  </cols>
  <sheetData>
    <row r="1" spans="1:15">
      <c r="A1" s="212" t="s">
        <v>206</v>
      </c>
      <c r="B1" s="213" t="s">
        <v>231</v>
      </c>
      <c r="C1" s="213" t="s">
        <v>232</v>
      </c>
      <c r="D1" s="213" t="s">
        <v>160</v>
      </c>
      <c r="E1" s="213" t="s">
        <v>140</v>
      </c>
      <c r="F1" s="213" t="s">
        <v>96</v>
      </c>
      <c r="G1" s="214" t="s">
        <v>210</v>
      </c>
      <c r="H1" s="215" t="s">
        <v>211</v>
      </c>
      <c r="I1" s="215" t="s">
        <v>212</v>
      </c>
      <c r="J1" s="869" t="s">
        <v>213</v>
      </c>
      <c r="K1" s="869" t="s">
        <v>214</v>
      </c>
      <c r="L1" s="869" t="s">
        <v>215</v>
      </c>
      <c r="M1" s="214" t="s">
        <v>216</v>
      </c>
      <c r="N1" s="203" t="s">
        <v>217</v>
      </c>
      <c r="O1" s="203" t="s">
        <v>218</v>
      </c>
    </row>
    <row r="2" spans="1:15">
      <c r="A2" s="208" t="s">
        <v>23</v>
      </c>
      <c r="B2" s="209">
        <v>29170</v>
      </c>
      <c r="C2" s="209">
        <v>30762</v>
      </c>
      <c r="D2" s="209">
        <v>32940</v>
      </c>
      <c r="E2" s="209">
        <v>31601</v>
      </c>
      <c r="F2" s="211">
        <v>28183</v>
      </c>
      <c r="G2" s="201" t="s">
        <v>219</v>
      </c>
      <c r="H2">
        <v>1</v>
      </c>
      <c r="I2">
        <v>1</v>
      </c>
      <c r="J2" s="267">
        <f>AVERAGE(VRHsizing[[#This Row],[FY23 Revenue Hours]:[FY25 Revenue Hours]])</f>
        <v>30908</v>
      </c>
      <c r="K2" s="267">
        <f>AVERAGE(VRHsizing[[#This Row],[FY22 Revenue Hours2]:[FY24 Revenue Hours]])</f>
        <v>31767.666666666668</v>
      </c>
      <c r="L2" s="267">
        <f>AVERAGE(VRHsizing[[#This Row],[FY21 Revenue Hours]:[FY23 Revenue Hours]])</f>
        <v>30957.333333333332</v>
      </c>
      <c r="M2" s="269" t="str">
        <f>VLOOKUP(Ridership[[#This Row],[Agency]],Assumptions!$B$35:$C$73, 2, FALSE)</f>
        <v>Rural</v>
      </c>
      <c r="N2" s="235">
        <f>VRHsizing[[#This Row],[FY25 Revenue Hours]]-VRHsizing[[#This Row],[FY24 Revenue Hours]]</f>
        <v>-3418</v>
      </c>
      <c r="O2" s="236">
        <f>N2/VRHsizing[[#This Row],[FY24 Revenue Hours]]</f>
        <v>-0.10816113414132464</v>
      </c>
    </row>
    <row r="3" spans="1:15">
      <c r="A3" s="208" t="s">
        <v>27</v>
      </c>
      <c r="B3" s="210">
        <v>3885</v>
      </c>
      <c r="C3" s="210">
        <v>7303</v>
      </c>
      <c r="D3" s="210">
        <v>7886</v>
      </c>
      <c r="E3" s="210">
        <v>7605</v>
      </c>
      <c r="F3" s="211">
        <v>7578</v>
      </c>
      <c r="G3" s="201" t="s">
        <v>219</v>
      </c>
      <c r="H3">
        <v>2</v>
      </c>
      <c r="I3">
        <v>5</v>
      </c>
      <c r="J3" s="267">
        <f>AVERAGE(VRHsizing[[#This Row],[FY23 Revenue Hours]:[FY25 Revenue Hours]])</f>
        <v>7689.666666666667</v>
      </c>
      <c r="K3" s="267">
        <f>AVERAGE(VRHsizing[[#This Row],[FY22 Revenue Hours2]:[FY24 Revenue Hours]])</f>
        <v>7598</v>
      </c>
      <c r="L3" s="267">
        <f>AVERAGE(VRHsizing[[#This Row],[FY21 Revenue Hours]:[FY23 Revenue Hours]])</f>
        <v>6358</v>
      </c>
      <c r="M3" s="246" t="str">
        <f>VLOOKUP(Ridership[[#This Row],[Agency]],Assumptions!$B$35:$C$73, 2, FALSE)</f>
        <v>Small Urban</v>
      </c>
      <c r="N3" s="235">
        <f>VRHsizing[[#This Row],[FY25 Revenue Hours]]-VRHsizing[[#This Row],[FY24 Revenue Hours]]</f>
        <v>-27</v>
      </c>
      <c r="O3" s="236">
        <f>N3/VRHsizing[[#This Row],[FY24 Revenue Hours]]</f>
        <v>-3.5502958579881655E-3</v>
      </c>
    </row>
    <row r="4" spans="1:15">
      <c r="A4" s="208" t="s">
        <v>35</v>
      </c>
      <c r="B4" s="211">
        <v>39533</v>
      </c>
      <c r="C4" s="211">
        <v>44776</v>
      </c>
      <c r="D4" s="211">
        <v>46711</v>
      </c>
      <c r="E4" s="211">
        <v>48302</v>
      </c>
      <c r="F4" s="211">
        <v>42313</v>
      </c>
      <c r="G4" s="201" t="s">
        <v>219</v>
      </c>
      <c r="H4">
        <v>3</v>
      </c>
      <c r="I4">
        <v>13</v>
      </c>
      <c r="J4" s="267">
        <f>AVERAGE(VRHsizing[[#This Row],[FY23 Revenue Hours]:[FY25 Revenue Hours]])</f>
        <v>45775.333333333336</v>
      </c>
      <c r="K4" s="267">
        <f>AVERAGE(VRHsizing[[#This Row],[FY22 Revenue Hours2]:[FY24 Revenue Hours]])</f>
        <v>46596.333333333336</v>
      </c>
      <c r="L4" s="267">
        <f>AVERAGE(VRHsizing[[#This Row],[FY21 Revenue Hours]:[FY23 Revenue Hours]])</f>
        <v>43673.333333333336</v>
      </c>
      <c r="M4" s="246" t="str">
        <f>VLOOKUP(Ridership[[#This Row],[Agency]],Assumptions!$B$35:$C$73, 2, FALSE)</f>
        <v>Rural</v>
      </c>
      <c r="N4" s="235">
        <f>VRHsizing[[#This Row],[FY25 Revenue Hours]]-VRHsizing[[#This Row],[FY24 Revenue Hours]]</f>
        <v>-5989</v>
      </c>
      <c r="O4" s="236">
        <f>N4/VRHsizing[[#This Row],[FY24 Revenue Hours]]</f>
        <v>-0.12399072502173823</v>
      </c>
    </row>
    <row r="5" spans="1:15">
      <c r="A5" s="208" t="s">
        <v>45</v>
      </c>
      <c r="B5" s="211">
        <v>35279</v>
      </c>
      <c r="C5" s="211">
        <v>40013</v>
      </c>
      <c r="D5" s="211">
        <v>47343</v>
      </c>
      <c r="E5" s="211">
        <v>44163</v>
      </c>
      <c r="F5" s="211">
        <v>43806</v>
      </c>
      <c r="G5" s="201" t="s">
        <v>219</v>
      </c>
      <c r="H5">
        <v>4</v>
      </c>
      <c r="I5">
        <v>23</v>
      </c>
      <c r="J5" s="267">
        <f>AVERAGE(VRHsizing[[#This Row],[FY23 Revenue Hours]:[FY25 Revenue Hours]])</f>
        <v>45104</v>
      </c>
      <c r="K5" s="267">
        <f>AVERAGE(VRHsizing[[#This Row],[FY22 Revenue Hours2]:[FY24 Revenue Hours]])</f>
        <v>43839.666666666664</v>
      </c>
      <c r="L5" s="267">
        <f>AVERAGE(VRHsizing[[#This Row],[FY21 Revenue Hours]:[FY23 Revenue Hours]])</f>
        <v>40878.333333333336</v>
      </c>
      <c r="M5" s="246" t="str">
        <f>VLOOKUP(Ridership[[#This Row],[Agency]],Assumptions!$B$35:$C$73, 2, FALSE)</f>
        <v>Rural</v>
      </c>
      <c r="N5" s="235">
        <f>VRHsizing[[#This Row],[FY25 Revenue Hours]]-VRHsizing[[#This Row],[FY24 Revenue Hours]]</f>
        <v>-357</v>
      </c>
      <c r="O5" s="236">
        <f>N5/VRHsizing[[#This Row],[FY24 Revenue Hours]]</f>
        <v>-8.0836899667142172E-3</v>
      </c>
    </row>
    <row r="6" spans="1:15">
      <c r="A6" s="208" t="s">
        <v>58</v>
      </c>
      <c r="B6" s="211">
        <v>8307</v>
      </c>
      <c r="C6" s="211">
        <v>7979</v>
      </c>
      <c r="D6" s="211">
        <v>8170</v>
      </c>
      <c r="E6" s="211">
        <v>8168</v>
      </c>
      <c r="F6" s="211">
        <v>7975</v>
      </c>
      <c r="G6" s="201" t="s">
        <v>219</v>
      </c>
      <c r="H6">
        <v>5</v>
      </c>
      <c r="I6">
        <v>36</v>
      </c>
      <c r="J6" s="267">
        <f>AVERAGE(VRHsizing[[#This Row],[FY23 Revenue Hours]:[FY25 Revenue Hours]])</f>
        <v>8104.333333333333</v>
      </c>
      <c r="K6" s="267">
        <f>AVERAGE(VRHsizing[[#This Row],[FY22 Revenue Hours2]:[FY24 Revenue Hours]])</f>
        <v>8105.666666666667</v>
      </c>
      <c r="L6" s="267">
        <f>AVERAGE(VRHsizing[[#This Row],[FY21 Revenue Hours]:[FY23 Revenue Hours]])</f>
        <v>8152</v>
      </c>
      <c r="M6" s="246" t="str">
        <f>VLOOKUP(Ridership[[#This Row],[Agency]],Assumptions!$B$35:$C$73, 2, FALSE)</f>
        <v>Rural</v>
      </c>
      <c r="N6" s="235">
        <f>VRHsizing[[#This Row],[FY25 Revenue Hours]]-VRHsizing[[#This Row],[FY24 Revenue Hours]]</f>
        <v>-193</v>
      </c>
      <c r="O6" s="236">
        <f>N6/VRHsizing[[#This Row],[FY24 Revenue Hours]]</f>
        <v>-2.3628795298726739E-2</v>
      </c>
    </row>
    <row r="7" spans="1:15">
      <c r="A7" s="208" t="s">
        <v>26</v>
      </c>
      <c r="B7" s="226">
        <v>103960</v>
      </c>
      <c r="C7" s="226">
        <v>94012</v>
      </c>
      <c r="D7" s="226">
        <v>113603</v>
      </c>
      <c r="E7" s="226">
        <v>128069</v>
      </c>
      <c r="F7" s="211">
        <v>144029</v>
      </c>
      <c r="G7" s="201" t="s">
        <v>220</v>
      </c>
      <c r="H7">
        <v>6</v>
      </c>
      <c r="I7">
        <v>4</v>
      </c>
      <c r="J7" s="267">
        <f>AVERAGE(VRHsizing[[#This Row],[FY23 Revenue Hours]:[FY25 Revenue Hours]])</f>
        <v>128567</v>
      </c>
      <c r="K7" s="267">
        <f>AVERAGE(VRHsizing[[#This Row],[FY22 Revenue Hours2]:[FY24 Revenue Hours]])</f>
        <v>111894.66666666667</v>
      </c>
      <c r="L7" s="267">
        <f>AVERAGE(VRHsizing[[#This Row],[FY21 Revenue Hours]:[FY23 Revenue Hours]])</f>
        <v>103858.33333333333</v>
      </c>
      <c r="M7" s="246" t="str">
        <f>VLOOKUP(Ridership[[#This Row],[Agency]],Assumptions!$B$35:$C$73, 2, FALSE)</f>
        <v>Small Urban</v>
      </c>
      <c r="N7" s="235">
        <f>VRHsizing[[#This Row],[FY25 Revenue Hours]]-VRHsizing[[#This Row],[FY24 Revenue Hours]]</f>
        <v>15960</v>
      </c>
      <c r="O7" s="236">
        <f>N7/VRHsizing[[#This Row],[FY24 Revenue Hours]]</f>
        <v>0.12462032185774856</v>
      </c>
    </row>
    <row r="8" spans="1:15">
      <c r="A8" s="208" t="s">
        <v>37</v>
      </c>
      <c r="B8" s="211">
        <v>40798</v>
      </c>
      <c r="C8" s="211">
        <v>40268</v>
      </c>
      <c r="D8" s="211">
        <v>37181</v>
      </c>
      <c r="E8" s="211">
        <v>38032</v>
      </c>
      <c r="F8" s="211">
        <v>38381</v>
      </c>
      <c r="G8" s="201" t="s">
        <v>221</v>
      </c>
      <c r="H8">
        <v>7</v>
      </c>
      <c r="I8">
        <v>15</v>
      </c>
      <c r="J8" s="267">
        <f>AVERAGE(VRHsizing[[#This Row],[FY23 Revenue Hours]:[FY25 Revenue Hours]])</f>
        <v>37864.666666666664</v>
      </c>
      <c r="K8" s="267">
        <f>AVERAGE(VRHsizing[[#This Row],[FY22 Revenue Hours2]:[FY24 Revenue Hours]])</f>
        <v>38493.666666666664</v>
      </c>
      <c r="L8" s="267">
        <f>AVERAGE(VRHsizing[[#This Row],[FY21 Revenue Hours]:[FY23 Revenue Hours]])</f>
        <v>39415.666666666664</v>
      </c>
      <c r="M8" s="246" t="str">
        <f>VLOOKUP(Ridership[[#This Row],[Agency]],Assumptions!$B$35:$C$73, 2, FALSE)</f>
        <v>Small Urban</v>
      </c>
      <c r="N8" s="235">
        <f>VRHsizing[[#This Row],[FY25 Revenue Hours]]-VRHsizing[[#This Row],[FY24 Revenue Hours]]</f>
        <v>349</v>
      </c>
      <c r="O8" s="236">
        <f>N8/VRHsizing[[#This Row],[FY24 Revenue Hours]]</f>
        <v>9.1764829617164492E-3</v>
      </c>
    </row>
    <row r="9" spans="1:15">
      <c r="A9" s="208" t="s">
        <v>31</v>
      </c>
      <c r="B9" s="210">
        <v>20267</v>
      </c>
      <c r="C9" s="210">
        <v>21618</v>
      </c>
      <c r="D9" s="210">
        <v>22410</v>
      </c>
      <c r="E9" s="210">
        <v>24727.8</v>
      </c>
      <c r="F9" s="211">
        <v>24537</v>
      </c>
      <c r="G9" s="201" t="s">
        <v>222</v>
      </c>
      <c r="H9">
        <v>8</v>
      </c>
      <c r="I9">
        <v>9</v>
      </c>
      <c r="J9" s="267">
        <f>AVERAGE(VRHsizing[[#This Row],[FY23 Revenue Hours]:[FY25 Revenue Hours]])</f>
        <v>23891.600000000002</v>
      </c>
      <c r="K9" s="267">
        <f>AVERAGE(VRHsizing[[#This Row],[FY22 Revenue Hours2]:[FY24 Revenue Hours]])</f>
        <v>22918.600000000002</v>
      </c>
      <c r="L9" s="267">
        <f>AVERAGE(VRHsizing[[#This Row],[FY21 Revenue Hours]:[FY23 Revenue Hours]])</f>
        <v>21431.666666666668</v>
      </c>
      <c r="M9" s="246" t="str">
        <f>VLOOKUP(Ridership[[#This Row],[Agency]],Assumptions!$B$35:$C$73, 2, FALSE)</f>
        <v>Rural</v>
      </c>
      <c r="N9" s="235">
        <f>VRHsizing[[#This Row],[FY25 Revenue Hours]]-VRHsizing[[#This Row],[FY24 Revenue Hours]]</f>
        <v>-190.79999999999927</v>
      </c>
      <c r="O9" s="236">
        <f>N9/VRHsizing[[#This Row],[FY24 Revenue Hours]]</f>
        <v>-7.7160119379807053E-3</v>
      </c>
    </row>
    <row r="10" spans="1:15">
      <c r="A10" s="208" t="s">
        <v>41</v>
      </c>
      <c r="B10" s="211">
        <v>3060</v>
      </c>
      <c r="C10" s="211">
        <v>3090</v>
      </c>
      <c r="D10" s="211">
        <v>3108</v>
      </c>
      <c r="E10" s="211">
        <v>2826</v>
      </c>
      <c r="F10" s="211">
        <v>3025</v>
      </c>
      <c r="G10" s="201" t="s">
        <v>222</v>
      </c>
      <c r="H10">
        <v>9</v>
      </c>
      <c r="I10">
        <v>19</v>
      </c>
      <c r="J10" s="267">
        <f>AVERAGE(VRHsizing[[#This Row],[FY23 Revenue Hours]:[FY25 Revenue Hours]])</f>
        <v>2986.3333333333335</v>
      </c>
      <c r="K10" s="267">
        <f>AVERAGE(VRHsizing[[#This Row],[FY22 Revenue Hours2]:[FY24 Revenue Hours]])</f>
        <v>3008</v>
      </c>
      <c r="L10" s="267">
        <f>AVERAGE(VRHsizing[[#This Row],[FY21 Revenue Hours]:[FY23 Revenue Hours]])</f>
        <v>3086</v>
      </c>
      <c r="M10" s="246" t="str">
        <f>VLOOKUP(Ridership[[#This Row],[Agency]],Assumptions!$B$35:$C$73, 2, FALSE)</f>
        <v>Rural</v>
      </c>
      <c r="N10" s="235">
        <f>VRHsizing[[#This Row],[FY25 Revenue Hours]]-VRHsizing[[#This Row],[FY24 Revenue Hours]]</f>
        <v>199</v>
      </c>
      <c r="O10" s="236">
        <f>N10/VRHsizing[[#This Row],[FY24 Revenue Hours]]</f>
        <v>7.0417551309271048E-2</v>
      </c>
    </row>
    <row r="11" spans="1:15">
      <c r="A11" s="208" t="s">
        <v>42</v>
      </c>
      <c r="B11" s="211">
        <v>971392</v>
      </c>
      <c r="C11" s="211">
        <v>886831</v>
      </c>
      <c r="D11" s="211">
        <v>955047</v>
      </c>
      <c r="E11" s="211">
        <v>1002985.3500000001</v>
      </c>
      <c r="F11" s="211">
        <v>935916</v>
      </c>
      <c r="G11" s="201" t="s">
        <v>222</v>
      </c>
      <c r="H11">
        <v>10</v>
      </c>
      <c r="I11">
        <v>20</v>
      </c>
      <c r="J11" s="267">
        <f>AVERAGE(VRHsizing[[#This Row],[FY23 Revenue Hours]:[FY25 Revenue Hours]])</f>
        <v>964649.45000000007</v>
      </c>
      <c r="K11" s="267">
        <f>AVERAGE(VRHsizing[[#This Row],[FY22 Revenue Hours2]:[FY24 Revenue Hours]])</f>
        <v>948287.78333333333</v>
      </c>
      <c r="L11" s="267">
        <f>AVERAGE(VRHsizing[[#This Row],[FY21 Revenue Hours]:[FY23 Revenue Hours]])</f>
        <v>937756.66666666663</v>
      </c>
      <c r="M11" s="246" t="str">
        <f>VLOOKUP(Ridership[[#This Row],[Agency]],Assumptions!$B$35:$C$73, 2, FALSE)</f>
        <v>Large Urban</v>
      </c>
      <c r="N11" s="235">
        <f>VRHsizing[[#This Row],[FY25 Revenue Hours]]-VRHsizing[[#This Row],[FY24 Revenue Hours]]</f>
        <v>-67069.350000000093</v>
      </c>
      <c r="O11" s="236">
        <f>N11/VRHsizing[[#This Row],[FY24 Revenue Hours]]</f>
        <v>-6.6869720479965228E-2</v>
      </c>
    </row>
    <row r="12" spans="1:15">
      <c r="A12" s="208" t="s">
        <v>53</v>
      </c>
      <c r="B12" s="211">
        <v>20410</v>
      </c>
      <c r="C12" s="211">
        <v>20345</v>
      </c>
      <c r="D12" s="211">
        <v>20260</v>
      </c>
      <c r="E12" s="211">
        <v>20119</v>
      </c>
      <c r="F12" s="211">
        <v>21730</v>
      </c>
      <c r="G12" s="201" t="s">
        <v>222</v>
      </c>
      <c r="H12">
        <v>11</v>
      </c>
      <c r="I12">
        <v>31</v>
      </c>
      <c r="J12" s="267">
        <f>AVERAGE(VRHsizing[[#This Row],[FY23 Revenue Hours]:[FY25 Revenue Hours]])</f>
        <v>20703</v>
      </c>
      <c r="K12" s="267">
        <f>AVERAGE(VRHsizing[[#This Row],[FY22 Revenue Hours2]:[FY24 Revenue Hours]])</f>
        <v>20241.333333333332</v>
      </c>
      <c r="L12" s="267">
        <f>AVERAGE(VRHsizing[[#This Row],[FY21 Revenue Hours]:[FY23 Revenue Hours]])</f>
        <v>20338.333333333332</v>
      </c>
      <c r="M12" s="246" t="str">
        <f>VLOOKUP(Ridership[[#This Row],[Agency]],Assumptions!$B$35:$C$73, 2, FALSE)</f>
        <v>Rural</v>
      </c>
      <c r="N12" s="235">
        <f>VRHsizing[[#This Row],[FY25 Revenue Hours]]-VRHsizing[[#This Row],[FY24 Revenue Hours]]</f>
        <v>1611</v>
      </c>
      <c r="O12" s="236">
        <f>N12/VRHsizing[[#This Row],[FY24 Revenue Hours]]</f>
        <v>8.0073562304289483E-2</v>
      </c>
    </row>
    <row r="13" spans="1:15">
      <c r="A13" s="208" t="s">
        <v>59</v>
      </c>
      <c r="B13" s="211">
        <v>1342</v>
      </c>
      <c r="C13" s="211">
        <v>880</v>
      </c>
      <c r="D13" s="211">
        <v>502</v>
      </c>
      <c r="E13" s="211">
        <v>1389</v>
      </c>
      <c r="F13" s="211">
        <v>953</v>
      </c>
      <c r="G13" s="201" t="s">
        <v>222</v>
      </c>
      <c r="H13">
        <v>12</v>
      </c>
      <c r="I13">
        <v>37</v>
      </c>
      <c r="J13" s="267">
        <f>AVERAGE(VRHsizing[[#This Row],[FY23 Revenue Hours]:[FY25 Revenue Hours]])</f>
        <v>948</v>
      </c>
      <c r="K13" s="267">
        <f>AVERAGE(VRHsizing[[#This Row],[FY22 Revenue Hours2]:[FY24 Revenue Hours]])</f>
        <v>923.66666666666663</v>
      </c>
      <c r="L13" s="267">
        <f>AVERAGE(VRHsizing[[#This Row],[FY21 Revenue Hours]:[FY23 Revenue Hours]])</f>
        <v>908</v>
      </c>
      <c r="M13" s="246" t="str">
        <f>VLOOKUP(Ridership[[#This Row],[Agency]],Assumptions!$B$35:$C$73, 2, FALSE)</f>
        <v>Rural</v>
      </c>
      <c r="N13" s="235">
        <f>VRHsizing[[#This Row],[FY25 Revenue Hours]]-VRHsizing[[#This Row],[FY24 Revenue Hours]]</f>
        <v>-436</v>
      </c>
      <c r="O13" s="236">
        <f>N13/VRHsizing[[#This Row],[FY24 Revenue Hours]]</f>
        <v>-0.31389488840892726</v>
      </c>
    </row>
    <row r="14" spans="1:15">
      <c r="A14" s="208" t="s">
        <v>61</v>
      </c>
      <c r="B14" s="211">
        <v>78393</v>
      </c>
      <c r="C14" s="211">
        <v>79332</v>
      </c>
      <c r="D14" s="211">
        <v>71283</v>
      </c>
      <c r="E14" s="211">
        <v>68607</v>
      </c>
      <c r="F14" s="211">
        <v>69229</v>
      </c>
      <c r="G14" s="201" t="s">
        <v>222</v>
      </c>
      <c r="H14">
        <v>13</v>
      </c>
      <c r="I14">
        <v>39</v>
      </c>
      <c r="J14" s="267">
        <f>AVERAGE(VRHsizing[[#This Row],[FY23 Revenue Hours]:[FY25 Revenue Hours]])</f>
        <v>69706.333333333328</v>
      </c>
      <c r="K14" s="267">
        <f>AVERAGE(VRHsizing[[#This Row],[FY22 Revenue Hours2]:[FY24 Revenue Hours]])</f>
        <v>73074</v>
      </c>
      <c r="L14" s="267">
        <f>AVERAGE(VRHsizing[[#This Row],[FY21 Revenue Hours]:[FY23 Revenue Hours]])</f>
        <v>76336</v>
      </c>
      <c r="M14" s="246" t="str">
        <f>VLOOKUP(Ridership[[#This Row],[Agency]],Assumptions!$B$35:$C$73, 2, FALSE)</f>
        <v>Small Urban</v>
      </c>
      <c r="N14" s="235">
        <f>VRHsizing[[#This Row],[FY25 Revenue Hours]]-VRHsizing[[#This Row],[FY24 Revenue Hours]]</f>
        <v>622</v>
      </c>
      <c r="O14" s="236">
        <f>N14/VRHsizing[[#This Row],[FY24 Revenue Hours]]</f>
        <v>9.0661302782514899E-3</v>
      </c>
    </row>
    <row r="15" spans="1:15">
      <c r="A15" s="208" t="s">
        <v>34</v>
      </c>
      <c r="B15" s="211">
        <v>38330</v>
      </c>
      <c r="C15" s="211">
        <v>35273</v>
      </c>
      <c r="D15" s="211">
        <v>29937</v>
      </c>
      <c r="E15" s="211">
        <v>34940</v>
      </c>
      <c r="F15" s="211">
        <v>32391</v>
      </c>
      <c r="G15" s="201" t="s">
        <v>223</v>
      </c>
      <c r="H15">
        <v>14</v>
      </c>
      <c r="I15">
        <v>12</v>
      </c>
      <c r="J15" s="267">
        <f>AVERAGE(VRHsizing[[#This Row],[FY23 Revenue Hours]:[FY25 Revenue Hours]])</f>
        <v>32422.666666666668</v>
      </c>
      <c r="K15" s="267">
        <f>AVERAGE(VRHsizing[[#This Row],[FY22 Revenue Hours2]:[FY24 Revenue Hours]])</f>
        <v>33383.333333333336</v>
      </c>
      <c r="L15" s="267">
        <f>AVERAGE(VRHsizing[[#This Row],[FY21 Revenue Hours]:[FY23 Revenue Hours]])</f>
        <v>34513.333333333336</v>
      </c>
      <c r="M15" s="246" t="str">
        <f>VLOOKUP(Ridership[[#This Row],[Agency]],Assumptions!$B$35:$C$73, 2, FALSE)</f>
        <v>Rural</v>
      </c>
      <c r="N15" s="235">
        <f>VRHsizing[[#This Row],[FY25 Revenue Hours]]-VRHsizing[[#This Row],[FY24 Revenue Hours]]</f>
        <v>-2549</v>
      </c>
      <c r="O15" s="236">
        <f>N15/VRHsizing[[#This Row],[FY24 Revenue Hours]]</f>
        <v>-7.2953634802518597E-2</v>
      </c>
    </row>
    <row r="16" spans="1:15">
      <c r="A16" s="208" t="s">
        <v>36</v>
      </c>
      <c r="B16" s="211">
        <v>13590</v>
      </c>
      <c r="C16" s="211">
        <v>11837</v>
      </c>
      <c r="D16" s="211">
        <v>11560</v>
      </c>
      <c r="E16" s="211">
        <v>11193</v>
      </c>
      <c r="F16" s="211">
        <v>11641</v>
      </c>
      <c r="G16" s="201" t="s">
        <v>223</v>
      </c>
      <c r="H16">
        <v>15</v>
      </c>
      <c r="I16">
        <v>14</v>
      </c>
      <c r="J16" s="267">
        <f>AVERAGE(VRHsizing[[#This Row],[FY23 Revenue Hours]:[FY25 Revenue Hours]])</f>
        <v>11464.666666666666</v>
      </c>
      <c r="K16" s="267">
        <f>AVERAGE(VRHsizing[[#This Row],[FY22 Revenue Hours2]:[FY24 Revenue Hours]])</f>
        <v>11530</v>
      </c>
      <c r="L16" s="267">
        <f>AVERAGE(VRHsizing[[#This Row],[FY21 Revenue Hours]:[FY23 Revenue Hours]])</f>
        <v>12329</v>
      </c>
      <c r="M16" s="246" t="str">
        <f>VLOOKUP(Ridership[[#This Row],[Agency]],Assumptions!$B$35:$C$73, 2, FALSE)</f>
        <v>Rural</v>
      </c>
      <c r="N16" s="235">
        <f>VRHsizing[[#This Row],[FY25 Revenue Hours]]-VRHsizing[[#This Row],[FY24 Revenue Hours]]</f>
        <v>448</v>
      </c>
      <c r="O16" s="236">
        <f>N16/VRHsizing[[#This Row],[FY24 Revenue Hours]]</f>
        <v>4.0025015634771732E-2</v>
      </c>
    </row>
    <row r="17" spans="1:15">
      <c r="A17" s="208" t="s">
        <v>38</v>
      </c>
      <c r="B17" s="211">
        <v>75366</v>
      </c>
      <c r="C17" s="211">
        <v>74332</v>
      </c>
      <c r="D17" s="211">
        <v>79599</v>
      </c>
      <c r="E17" s="211">
        <v>80007.260000000009</v>
      </c>
      <c r="F17" s="211">
        <v>82740</v>
      </c>
      <c r="G17" s="201" t="s">
        <v>223</v>
      </c>
      <c r="H17">
        <v>16</v>
      </c>
      <c r="I17">
        <v>16</v>
      </c>
      <c r="J17" s="267">
        <f>AVERAGE(VRHsizing[[#This Row],[FY23 Revenue Hours]:[FY25 Revenue Hours]])</f>
        <v>80782.08666666667</v>
      </c>
      <c r="K17" s="267">
        <f>AVERAGE(VRHsizing[[#This Row],[FY22 Revenue Hours2]:[FY24 Revenue Hours]])</f>
        <v>77979.42</v>
      </c>
      <c r="L17" s="267">
        <f>AVERAGE(VRHsizing[[#This Row],[FY21 Revenue Hours]:[FY23 Revenue Hours]])</f>
        <v>76432.333333333328</v>
      </c>
      <c r="M17" s="246" t="str">
        <f>VLOOKUP(Ridership[[#This Row],[Agency]],Assumptions!$B$35:$C$73, 2, FALSE)</f>
        <v>Small Urban</v>
      </c>
      <c r="N17" s="235">
        <f>VRHsizing[[#This Row],[FY25 Revenue Hours]]-VRHsizing[[#This Row],[FY24 Revenue Hours]]</f>
        <v>2732.7399999999907</v>
      </c>
      <c r="O17" s="236">
        <f>N17/VRHsizing[[#This Row],[FY24 Revenue Hours]]</f>
        <v>3.4156150329357489E-2</v>
      </c>
    </row>
    <row r="18" spans="1:15">
      <c r="A18" s="208" t="s">
        <v>54</v>
      </c>
      <c r="B18" s="211">
        <v>3011</v>
      </c>
      <c r="C18" s="211">
        <v>3043</v>
      </c>
      <c r="D18" s="211">
        <v>3028</v>
      </c>
      <c r="E18" s="211">
        <v>3004</v>
      </c>
      <c r="F18" s="211">
        <v>3083</v>
      </c>
      <c r="G18" s="201" t="s">
        <v>223</v>
      </c>
      <c r="H18">
        <v>17</v>
      </c>
      <c r="I18">
        <v>32</v>
      </c>
      <c r="J18" s="267">
        <f>AVERAGE(VRHsizing[[#This Row],[FY23 Revenue Hours]:[FY25 Revenue Hours]])</f>
        <v>3038.3333333333335</v>
      </c>
      <c r="K18" s="267">
        <f>AVERAGE(VRHsizing[[#This Row],[FY22 Revenue Hours2]:[FY24 Revenue Hours]])</f>
        <v>3025</v>
      </c>
      <c r="L18" s="267">
        <f>AVERAGE(VRHsizing[[#This Row],[FY21 Revenue Hours]:[FY23 Revenue Hours]])</f>
        <v>3027.3333333333335</v>
      </c>
      <c r="M18" s="246" t="str">
        <f>VLOOKUP(Ridership[[#This Row],[Agency]],Assumptions!$B$35:$C$73, 2, FALSE)</f>
        <v>Rural</v>
      </c>
      <c r="N18" s="235">
        <f>VRHsizing[[#This Row],[FY25 Revenue Hours]]-VRHsizing[[#This Row],[FY24 Revenue Hours]]</f>
        <v>79</v>
      </c>
      <c r="O18" s="236">
        <f>N18/VRHsizing[[#This Row],[FY24 Revenue Hours]]</f>
        <v>2.62982689747004E-2</v>
      </c>
    </row>
    <row r="19" spans="1:15">
      <c r="A19" s="208" t="s">
        <v>33</v>
      </c>
      <c r="B19" s="226">
        <v>96601</v>
      </c>
      <c r="C19" s="226">
        <f>88663+10112</f>
        <v>98775</v>
      </c>
      <c r="D19" s="226">
        <f>108286+10206</f>
        <v>118492</v>
      </c>
      <c r="E19" s="226">
        <f>160073+12922.92</f>
        <v>172995.92</v>
      </c>
      <c r="F19" s="233">
        <f>171928+16940</f>
        <v>188868</v>
      </c>
      <c r="G19" s="201" t="s">
        <v>224</v>
      </c>
      <c r="H19">
        <v>18</v>
      </c>
      <c r="I19">
        <v>11</v>
      </c>
      <c r="J19" s="267">
        <f>AVERAGE(VRHsizing[[#This Row],[FY23 Revenue Hours]:[FY25 Revenue Hours]])</f>
        <v>160118.64000000001</v>
      </c>
      <c r="K19" s="267">
        <f>AVERAGE(VRHsizing[[#This Row],[FY22 Revenue Hours2]:[FY24 Revenue Hours]])</f>
        <v>130087.64000000001</v>
      </c>
      <c r="L19" s="267">
        <f>AVERAGE(VRHsizing[[#This Row],[FY21 Revenue Hours]:[FY23 Revenue Hours]])</f>
        <v>104622.66666666667</v>
      </c>
      <c r="M19" s="246" t="str">
        <f>VLOOKUP(Ridership[[#This Row],[Agency]],Assumptions!$B$35:$C$73, 2, FALSE)</f>
        <v>Large Urban</v>
      </c>
      <c r="N19" s="235">
        <f>VRHsizing[[#This Row],[FY25 Revenue Hours]]-VRHsizing[[#This Row],[FY24 Revenue Hours]]</f>
        <v>15872.079999999987</v>
      </c>
      <c r="O19" s="236">
        <f>N19/VRHsizing[[#This Row],[FY24 Revenue Hours]]</f>
        <v>9.1748290942352775E-2</v>
      </c>
    </row>
    <row r="20" spans="1:15">
      <c r="A20" s="208" t="s">
        <v>46</v>
      </c>
      <c r="B20" s="211">
        <v>182007</v>
      </c>
      <c r="C20" s="211">
        <v>204460</v>
      </c>
      <c r="D20" s="211">
        <v>216250</v>
      </c>
      <c r="E20" s="211">
        <v>230883</v>
      </c>
      <c r="F20" s="211">
        <v>225969</v>
      </c>
      <c r="G20" s="201" t="s">
        <v>224</v>
      </c>
      <c r="H20">
        <v>19</v>
      </c>
      <c r="I20">
        <v>24</v>
      </c>
      <c r="J20" s="267">
        <f>AVERAGE(VRHsizing[[#This Row],[FY23 Revenue Hours]:[FY25 Revenue Hours]])</f>
        <v>224367.33333333334</v>
      </c>
      <c r="K20" s="267">
        <f>AVERAGE(VRHsizing[[#This Row],[FY22 Revenue Hours2]:[FY24 Revenue Hours]])</f>
        <v>217197.66666666666</v>
      </c>
      <c r="L20" s="267">
        <f>AVERAGE(VRHsizing[[#This Row],[FY21 Revenue Hours]:[FY23 Revenue Hours]])</f>
        <v>200905.66666666666</v>
      </c>
      <c r="M20" s="246" t="str">
        <f>VLOOKUP(Ridership[[#This Row],[Agency]],Assumptions!$B$35:$C$73, 2, FALSE)</f>
        <v>Large Urban</v>
      </c>
      <c r="N20" s="235">
        <f>VRHsizing[[#This Row],[FY25 Revenue Hours]]-VRHsizing[[#This Row],[FY24 Revenue Hours]]</f>
        <v>-4914</v>
      </c>
      <c r="O20" s="236">
        <f>N20/VRHsizing[[#This Row],[FY24 Revenue Hours]]</f>
        <v>-2.128350723093515E-2</v>
      </c>
    </row>
    <row r="21" spans="1:15">
      <c r="A21" s="208" t="s">
        <v>47</v>
      </c>
      <c r="B21" s="211">
        <v>211975</v>
      </c>
      <c r="C21" s="211">
        <v>276476</v>
      </c>
      <c r="D21" s="211">
        <v>310607</v>
      </c>
      <c r="E21" s="211">
        <v>308856.31</v>
      </c>
      <c r="F21" s="211">
        <v>318474</v>
      </c>
      <c r="G21" s="201" t="s">
        <v>224</v>
      </c>
      <c r="H21">
        <v>20</v>
      </c>
      <c r="I21">
        <v>25</v>
      </c>
      <c r="J21" s="267">
        <f>AVERAGE(VRHsizing[[#This Row],[FY23 Revenue Hours]:[FY25 Revenue Hours]])</f>
        <v>312645.77</v>
      </c>
      <c r="K21" s="267">
        <f>AVERAGE(VRHsizing[[#This Row],[FY22 Revenue Hours2]:[FY24 Revenue Hours]])</f>
        <v>298646.4366666667</v>
      </c>
      <c r="L21" s="267">
        <f>AVERAGE(VRHsizing[[#This Row],[FY21 Revenue Hours]:[FY23 Revenue Hours]])</f>
        <v>266352.66666666669</v>
      </c>
      <c r="M21" s="246" t="str">
        <f>VLOOKUP(Ridership[[#This Row],[Agency]],Assumptions!$B$35:$C$73, 2, FALSE)</f>
        <v>Large Urban</v>
      </c>
      <c r="N21" s="235">
        <f>VRHsizing[[#This Row],[FY25 Revenue Hours]]-VRHsizing[[#This Row],[FY24 Revenue Hours]]</f>
        <v>9617.6900000000023</v>
      </c>
      <c r="O21" s="236">
        <f>N21/VRHsizing[[#This Row],[FY24 Revenue Hours]]</f>
        <v>3.113969081609504E-2</v>
      </c>
    </row>
    <row r="22" spans="1:15">
      <c r="A22" s="208" t="s">
        <v>48</v>
      </c>
      <c r="B22" s="211">
        <v>34280</v>
      </c>
      <c r="C22" s="211">
        <v>35046</v>
      </c>
      <c r="D22" s="211">
        <v>34638</v>
      </c>
      <c r="E22" s="211">
        <v>34526</v>
      </c>
      <c r="F22" s="211">
        <v>34553</v>
      </c>
      <c r="G22" s="201" t="s">
        <v>224</v>
      </c>
      <c r="H22">
        <v>21</v>
      </c>
      <c r="I22">
        <v>26</v>
      </c>
      <c r="J22" s="267">
        <f>AVERAGE(VRHsizing[[#This Row],[FY23 Revenue Hours]:[FY25 Revenue Hours]])</f>
        <v>34572.333333333336</v>
      </c>
      <c r="K22" s="267">
        <f>AVERAGE(VRHsizing[[#This Row],[FY22 Revenue Hours2]:[FY24 Revenue Hours]])</f>
        <v>34736.666666666664</v>
      </c>
      <c r="L22" s="267">
        <f>AVERAGE(VRHsizing[[#This Row],[FY21 Revenue Hours]:[FY23 Revenue Hours]])</f>
        <v>34654.666666666664</v>
      </c>
      <c r="M22" s="246" t="str">
        <f>VLOOKUP(Ridership[[#This Row],[Agency]],Assumptions!$B$35:$C$73, 2, FALSE)</f>
        <v>Large Urban</v>
      </c>
      <c r="N22" s="235">
        <f>VRHsizing[[#This Row],[FY25 Revenue Hours]]-VRHsizing[[#This Row],[FY24 Revenue Hours]]</f>
        <v>27</v>
      </c>
      <c r="O22" s="236">
        <f>N22/VRHsizing[[#This Row],[FY24 Revenue Hours]]</f>
        <v>7.8201934773793665E-4</v>
      </c>
    </row>
    <row r="23" spans="1:15">
      <c r="A23" s="208" t="s">
        <v>49</v>
      </c>
      <c r="B23" s="226">
        <v>777388</v>
      </c>
      <c r="C23" s="226">
        <f>840428+2521</f>
        <v>842949</v>
      </c>
      <c r="D23" s="211">
        <v>848788</v>
      </c>
      <c r="E23" s="211">
        <v>819202.73699999996</v>
      </c>
      <c r="F23" s="211">
        <v>879010</v>
      </c>
      <c r="G23" s="201" t="s">
        <v>224</v>
      </c>
      <c r="H23">
        <v>22</v>
      </c>
      <c r="I23">
        <v>27</v>
      </c>
      <c r="J23" s="267">
        <f>AVERAGE(VRHsizing[[#This Row],[FY23 Revenue Hours]:[FY25 Revenue Hours]])</f>
        <v>849000.24566666654</v>
      </c>
      <c r="K23" s="267">
        <f>AVERAGE(VRHsizing[[#This Row],[FY22 Revenue Hours2]:[FY24 Revenue Hours]])</f>
        <v>836979.91233333328</v>
      </c>
      <c r="L23" s="267">
        <f>AVERAGE(VRHsizing[[#This Row],[FY21 Revenue Hours]:[FY23 Revenue Hours]])</f>
        <v>823041.66666666663</v>
      </c>
      <c r="M23" s="246" t="str">
        <f>VLOOKUP(Ridership[[#This Row],[Agency]],Assumptions!$B$35:$C$73, 2, FALSE)</f>
        <v>Large Urban</v>
      </c>
      <c r="N23" s="235">
        <f>VRHsizing[[#This Row],[FY25 Revenue Hours]]-VRHsizing[[#This Row],[FY24 Revenue Hours]]</f>
        <v>59807.263000000035</v>
      </c>
      <c r="O23" s="236">
        <f>N23/VRHsizing[[#This Row],[FY24 Revenue Hours]]</f>
        <v>7.3006668921810541E-2</v>
      </c>
    </row>
    <row r="24" spans="1:15">
      <c r="A24" s="208" t="s">
        <v>50</v>
      </c>
      <c r="B24" s="226">
        <v>227208.61</v>
      </c>
      <c r="C24" s="226">
        <f>147080+71220</f>
        <v>218300</v>
      </c>
      <c r="D24" s="226">
        <f>142232+57989</f>
        <v>200221</v>
      </c>
      <c r="E24" s="226">
        <f>174456.2+62202</f>
        <v>236658.2</v>
      </c>
      <c r="F24" s="233">
        <f>196723.520019498+66989</f>
        <v>263712.52001949801</v>
      </c>
      <c r="G24" s="201" t="s">
        <v>224</v>
      </c>
      <c r="H24">
        <v>23</v>
      </c>
      <c r="I24">
        <v>28</v>
      </c>
      <c r="J24" s="267">
        <f>AVERAGE(VRHsizing[[#This Row],[FY23 Revenue Hours]:[FY25 Revenue Hours]])</f>
        <v>233530.57333983268</v>
      </c>
      <c r="K24" s="267">
        <f>AVERAGE(VRHsizing[[#This Row],[FY22 Revenue Hours2]:[FY24 Revenue Hours]])</f>
        <v>218393.06666666665</v>
      </c>
      <c r="L24" s="267">
        <f>AVERAGE(VRHsizing[[#This Row],[FY21 Revenue Hours]:[FY23 Revenue Hours]])</f>
        <v>215243.20333333334</v>
      </c>
      <c r="M24" s="246" t="str">
        <f>VLOOKUP(Ridership[[#This Row],[Agency]],Assumptions!$B$35:$C$73, 2, FALSE)</f>
        <v>Large Urban</v>
      </c>
      <c r="N24" s="235">
        <f>VRHsizing[[#This Row],[FY25 Revenue Hours]]-VRHsizing[[#This Row],[FY24 Revenue Hours]]</f>
        <v>27054.320019498002</v>
      </c>
      <c r="O24" s="236">
        <f>N24/VRHsizing[[#This Row],[FY24 Revenue Hours]]</f>
        <v>0.11431811794181651</v>
      </c>
    </row>
    <row r="25" spans="1:15">
      <c r="A25" s="208" t="s">
        <v>29</v>
      </c>
      <c r="B25" s="211">
        <v>46966</v>
      </c>
      <c r="C25" s="211">
        <v>47286</v>
      </c>
      <c r="D25" s="211">
        <v>43849</v>
      </c>
      <c r="E25" s="211">
        <v>41575</v>
      </c>
      <c r="F25" s="211">
        <v>44373</v>
      </c>
      <c r="G25" s="201" t="s">
        <v>225</v>
      </c>
      <c r="H25">
        <v>24</v>
      </c>
      <c r="I25">
        <v>7</v>
      </c>
      <c r="J25" s="267">
        <f>AVERAGE(VRHsizing[[#This Row],[FY23 Revenue Hours]:[FY25 Revenue Hours]])</f>
        <v>43265.666666666664</v>
      </c>
      <c r="K25" s="267">
        <f>AVERAGE(VRHsizing[[#This Row],[FY22 Revenue Hours2]:[FY24 Revenue Hours]])</f>
        <v>44236.666666666664</v>
      </c>
      <c r="L25" s="267">
        <f>AVERAGE(VRHsizing[[#This Row],[FY21 Revenue Hours]:[FY23 Revenue Hours]])</f>
        <v>46033.666666666664</v>
      </c>
      <c r="M25" s="246" t="str">
        <f>VLOOKUP(Ridership[[#This Row],[Agency]],Assumptions!$B$35:$C$73, 2, FALSE)</f>
        <v>Large Urban</v>
      </c>
      <c r="N25" s="235">
        <f>VRHsizing[[#This Row],[FY25 Revenue Hours]]-VRHsizing[[#This Row],[FY24 Revenue Hours]]</f>
        <v>2798</v>
      </c>
      <c r="O25" s="236">
        <f>N25/VRHsizing[[#This Row],[FY24 Revenue Hours]]</f>
        <v>6.7300060132291034E-2</v>
      </c>
    </row>
    <row r="26" spans="1:15">
      <c r="A26" s="208" t="s">
        <v>39</v>
      </c>
      <c r="B26" s="211">
        <v>606539</v>
      </c>
      <c r="C26" s="211">
        <v>589217</v>
      </c>
      <c r="D26" s="226">
        <f>582073+1652</f>
        <v>583725</v>
      </c>
      <c r="E26" s="226">
        <f>631194+2456.79</f>
        <v>633650.79</v>
      </c>
      <c r="F26" s="233">
        <f>735603+646</f>
        <v>736249</v>
      </c>
      <c r="G26" s="201" t="s">
        <v>225</v>
      </c>
      <c r="H26">
        <v>25</v>
      </c>
      <c r="I26">
        <v>17</v>
      </c>
      <c r="J26" s="267">
        <f>AVERAGE(VRHsizing[[#This Row],[FY23 Revenue Hours]:[FY25 Revenue Hours]])</f>
        <v>651208.26333333331</v>
      </c>
      <c r="K26" s="267">
        <f>AVERAGE(VRHsizing[[#This Row],[FY22 Revenue Hours2]:[FY24 Revenue Hours]])</f>
        <v>602197.59666666668</v>
      </c>
      <c r="L26" s="267">
        <f>AVERAGE(VRHsizing[[#This Row],[FY21 Revenue Hours]:[FY23 Revenue Hours]])</f>
        <v>593160.33333333337</v>
      </c>
      <c r="M26" s="246" t="str">
        <f>VLOOKUP(Ridership[[#This Row],[Agency]],Assumptions!$B$35:$C$73, 2, FALSE)</f>
        <v>Large Urban</v>
      </c>
      <c r="N26" s="235">
        <f>VRHsizing[[#This Row],[FY25 Revenue Hours]]-VRHsizing[[#This Row],[FY24 Revenue Hours]]</f>
        <v>102598.20999999996</v>
      </c>
      <c r="O26" s="236">
        <f>N26/VRHsizing[[#This Row],[FY24 Revenue Hours]]</f>
        <v>0.16191601370843386</v>
      </c>
    </row>
    <row r="27" spans="1:15">
      <c r="A27" s="208" t="s">
        <v>55</v>
      </c>
      <c r="B27" s="211">
        <v>0</v>
      </c>
      <c r="C27" s="211">
        <v>0</v>
      </c>
      <c r="D27" s="211">
        <v>1065</v>
      </c>
      <c r="E27" s="211">
        <v>1636</v>
      </c>
      <c r="F27" s="211">
        <v>1600</v>
      </c>
      <c r="G27" s="201" t="s">
        <v>226</v>
      </c>
      <c r="H27">
        <v>26</v>
      </c>
      <c r="I27">
        <v>33</v>
      </c>
      <c r="J27" s="267">
        <f>AVERAGE(VRHsizing[[#This Row],[FY23 Revenue Hours]:[FY25 Revenue Hours]])</f>
        <v>1433.6666666666667</v>
      </c>
      <c r="K27" s="267">
        <f>AVERAGE(VRHsizing[[#This Row],[FY22 Revenue Hours2]:[FY24 Revenue Hours]])</f>
        <v>900.33333333333337</v>
      </c>
      <c r="L27" s="267">
        <f>AVERAGE(VRHsizing[[#This Row],[FY21 Revenue Hours]:[FY23 Revenue Hours]])</f>
        <v>355</v>
      </c>
      <c r="M27" s="246" t="str">
        <f>VLOOKUP(Ridership[[#This Row],[Agency]],Assumptions!$B$35:$C$73, 2, FALSE)</f>
        <v>Rural</v>
      </c>
      <c r="N27" s="235">
        <f>VRHsizing[[#This Row],[FY25 Revenue Hours]]-VRHsizing[[#This Row],[FY24 Revenue Hours]]</f>
        <v>-36</v>
      </c>
      <c r="O27" s="236">
        <f>N27/VRHsizing[[#This Row],[FY24 Revenue Hours]]</f>
        <v>-2.2004889975550123E-2</v>
      </c>
    </row>
    <row r="28" spans="1:15">
      <c r="A28" s="208" t="s">
        <v>56</v>
      </c>
      <c r="B28" s="211">
        <v>104803</v>
      </c>
      <c r="C28" s="211">
        <v>100136</v>
      </c>
      <c r="D28" s="211">
        <v>92885</v>
      </c>
      <c r="E28" s="211">
        <v>99331.900000000009</v>
      </c>
      <c r="F28" s="211">
        <v>121490</v>
      </c>
      <c r="G28" s="201" t="s">
        <v>226</v>
      </c>
      <c r="H28">
        <v>27</v>
      </c>
      <c r="I28">
        <v>34</v>
      </c>
      <c r="J28" s="267">
        <f>AVERAGE(VRHsizing[[#This Row],[FY23 Revenue Hours]:[FY25 Revenue Hours]])</f>
        <v>104568.96666666667</v>
      </c>
      <c r="K28" s="267">
        <f>AVERAGE(VRHsizing[[#This Row],[FY22 Revenue Hours2]:[FY24 Revenue Hours]])</f>
        <v>97450.966666666674</v>
      </c>
      <c r="L28" s="267">
        <f>AVERAGE(VRHsizing[[#This Row],[FY21 Revenue Hours]:[FY23 Revenue Hours]])</f>
        <v>99274.666666666672</v>
      </c>
      <c r="M28" s="246" t="str">
        <f>VLOOKUP(Ridership[[#This Row],[Agency]],Assumptions!$B$35:$C$73, 2, FALSE)</f>
        <v>Small Urban</v>
      </c>
      <c r="N28" s="235">
        <f>VRHsizing[[#This Row],[FY25 Revenue Hours]]-VRHsizing[[#This Row],[FY24 Revenue Hours]]</f>
        <v>22158.099999999991</v>
      </c>
      <c r="O28" s="236">
        <f>N28/VRHsizing[[#This Row],[FY24 Revenue Hours]]</f>
        <v>0.22307133962000111</v>
      </c>
    </row>
    <row r="29" spans="1:15">
      <c r="A29" s="208" t="s">
        <v>30</v>
      </c>
      <c r="B29" s="211">
        <v>30471</v>
      </c>
      <c r="C29" s="211">
        <v>31063</v>
      </c>
      <c r="D29" s="211">
        <v>32095</v>
      </c>
      <c r="E29" s="211">
        <v>36673.339999999997</v>
      </c>
      <c r="F29" s="211">
        <v>35518.39</v>
      </c>
      <c r="G29" s="201" t="s">
        <v>226</v>
      </c>
      <c r="H29">
        <v>28</v>
      </c>
      <c r="I29">
        <v>8</v>
      </c>
      <c r="J29" s="267">
        <f>AVERAGE(VRHsizing[[#This Row],[FY23 Revenue Hours]:[FY25 Revenue Hours]])</f>
        <v>34762.243333333332</v>
      </c>
      <c r="K29" s="267">
        <f>AVERAGE(VRHsizing[[#This Row],[FY22 Revenue Hours2]:[FY24 Revenue Hours]])</f>
        <v>33277.113333333335</v>
      </c>
      <c r="L29" s="267">
        <f>AVERAGE(VRHsizing[[#This Row],[FY21 Revenue Hours]:[FY23 Revenue Hours]])</f>
        <v>31209.666666666668</v>
      </c>
      <c r="M29" s="246" t="str">
        <f>VLOOKUP(Ridership[[#This Row],[Agency]],Assumptions!$B$35:$C$73, 2, FALSE)</f>
        <v>Rural</v>
      </c>
      <c r="N29" s="235">
        <f>VRHsizing[[#This Row],[FY25 Revenue Hours]]-VRHsizing[[#This Row],[FY24 Revenue Hours]]</f>
        <v>-1154.9499999999971</v>
      </c>
      <c r="O29" s="236">
        <f>N29/VRHsizing[[#This Row],[FY24 Revenue Hours]]</f>
        <v>-3.1492904654989079E-2</v>
      </c>
    </row>
    <row r="30" spans="1:15">
      <c r="A30" s="208" t="s">
        <v>40</v>
      </c>
      <c r="B30" s="211">
        <v>145560</v>
      </c>
      <c r="C30" s="211">
        <v>155800</v>
      </c>
      <c r="D30" s="211">
        <v>141516</v>
      </c>
      <c r="E30" s="211">
        <v>143067</v>
      </c>
      <c r="F30" s="211">
        <v>156195</v>
      </c>
      <c r="G30" s="201" t="s">
        <v>226</v>
      </c>
      <c r="H30">
        <v>29</v>
      </c>
      <c r="I30">
        <v>18</v>
      </c>
      <c r="J30" s="267">
        <f>AVERAGE(VRHsizing[[#This Row],[FY23 Revenue Hours]:[FY25 Revenue Hours]])</f>
        <v>146926</v>
      </c>
      <c r="K30" s="267">
        <f>AVERAGE(VRHsizing[[#This Row],[FY22 Revenue Hours2]:[FY24 Revenue Hours]])</f>
        <v>146794.33333333334</v>
      </c>
      <c r="L30" s="267">
        <f>AVERAGE(VRHsizing[[#This Row],[FY21 Revenue Hours]:[FY23 Revenue Hours]])</f>
        <v>147625.33333333334</v>
      </c>
      <c r="M30" s="246" t="str">
        <f>VLOOKUP(Ridership[[#This Row],[Agency]],Assumptions!$B$35:$C$73, 2, FALSE)</f>
        <v>Large Urban</v>
      </c>
      <c r="N30" s="235">
        <f>VRHsizing[[#This Row],[FY25 Revenue Hours]]-VRHsizing[[#This Row],[FY24 Revenue Hours]]</f>
        <v>13128</v>
      </c>
      <c r="O30" s="236">
        <f>N30/VRHsizing[[#This Row],[FY24 Revenue Hours]]</f>
        <v>9.1761202793096935E-2</v>
      </c>
    </row>
    <row r="31" spans="1:15">
      <c r="A31" s="208" t="s">
        <v>51</v>
      </c>
      <c r="B31" s="211">
        <v>18342</v>
      </c>
      <c r="C31" s="211">
        <v>19090</v>
      </c>
      <c r="D31" s="211">
        <v>18878</v>
      </c>
      <c r="E31" s="211">
        <v>18710.25</v>
      </c>
      <c r="F31" s="211">
        <v>18376</v>
      </c>
      <c r="G31" s="201" t="s">
        <v>226</v>
      </c>
      <c r="H31">
        <v>30</v>
      </c>
      <c r="I31">
        <v>29</v>
      </c>
      <c r="J31" s="267">
        <f>AVERAGE(VRHsizing[[#This Row],[FY23 Revenue Hours]:[FY25 Revenue Hours]])</f>
        <v>18654.75</v>
      </c>
      <c r="K31" s="267">
        <f>AVERAGE(VRHsizing[[#This Row],[FY22 Revenue Hours2]:[FY24 Revenue Hours]])</f>
        <v>18892.75</v>
      </c>
      <c r="L31" s="267">
        <f>AVERAGE(VRHsizing[[#This Row],[FY21 Revenue Hours]:[FY23 Revenue Hours]])</f>
        <v>18770</v>
      </c>
      <c r="M31" s="246" t="str">
        <f>VLOOKUP(Ridership[[#This Row],[Agency]],Assumptions!$B$35:$C$73, 2, FALSE)</f>
        <v>Rural</v>
      </c>
      <c r="N31" s="235">
        <f>VRHsizing[[#This Row],[FY25 Revenue Hours]]-VRHsizing[[#This Row],[FY24 Revenue Hours]]</f>
        <v>-334.25</v>
      </c>
      <c r="O31" s="236">
        <f>N31/VRHsizing[[#This Row],[FY24 Revenue Hours]]</f>
        <v>-1.7864539490386286E-2</v>
      </c>
    </row>
    <row r="32" spans="1:15">
      <c r="A32" s="208" t="s">
        <v>25</v>
      </c>
      <c r="B32" s="211">
        <v>33407</v>
      </c>
      <c r="C32" s="211">
        <v>36937</v>
      </c>
      <c r="D32" s="211">
        <v>37781</v>
      </c>
      <c r="E32" s="211">
        <v>36534.629999999997</v>
      </c>
      <c r="F32" s="211">
        <v>36644</v>
      </c>
      <c r="G32" s="201" t="s">
        <v>227</v>
      </c>
      <c r="H32">
        <v>31</v>
      </c>
      <c r="I32">
        <v>3</v>
      </c>
      <c r="J32" s="267">
        <f>AVERAGE(VRHsizing[[#This Row],[FY23 Revenue Hours]:[FY25 Revenue Hours]])</f>
        <v>36986.543333333335</v>
      </c>
      <c r="K32" s="267">
        <f>AVERAGE(VRHsizing[[#This Row],[FY22 Revenue Hours2]:[FY24 Revenue Hours]])</f>
        <v>37084.21</v>
      </c>
      <c r="L32" s="267">
        <f>AVERAGE(VRHsizing[[#This Row],[FY21 Revenue Hours]:[FY23 Revenue Hours]])</f>
        <v>36041.666666666664</v>
      </c>
      <c r="M32" s="246" t="str">
        <f>VLOOKUP(Ridership[[#This Row],[Agency]],Assumptions!$B$35:$C$73, 2, FALSE)</f>
        <v>Small Urban</v>
      </c>
      <c r="N32" s="235">
        <f>VRHsizing[[#This Row],[FY25 Revenue Hours]]-VRHsizing[[#This Row],[FY24 Revenue Hours]]</f>
        <v>109.37000000000262</v>
      </c>
      <c r="O32" s="236">
        <f>N32/VRHsizing[[#This Row],[FY24 Revenue Hours]]</f>
        <v>2.9935981286796287E-3</v>
      </c>
    </row>
    <row r="33" spans="1:15">
      <c r="A33" s="208" t="s">
        <v>28</v>
      </c>
      <c r="B33" s="211">
        <v>77225</v>
      </c>
      <c r="C33" s="211">
        <v>74536</v>
      </c>
      <c r="D33" s="211">
        <v>72014</v>
      </c>
      <c r="E33" s="211">
        <v>76614</v>
      </c>
      <c r="F33" s="211">
        <v>78270</v>
      </c>
      <c r="G33" s="201" t="s">
        <v>227</v>
      </c>
      <c r="H33">
        <v>32</v>
      </c>
      <c r="I33">
        <v>6</v>
      </c>
      <c r="J33" s="267">
        <f>AVERAGE(VRHsizing[[#This Row],[FY23 Revenue Hours]:[FY25 Revenue Hours]])</f>
        <v>75632.666666666672</v>
      </c>
      <c r="K33" s="267">
        <f>AVERAGE(VRHsizing[[#This Row],[FY22 Revenue Hours2]:[FY24 Revenue Hours]])</f>
        <v>74388</v>
      </c>
      <c r="L33" s="267">
        <f>AVERAGE(VRHsizing[[#This Row],[FY21 Revenue Hours]:[FY23 Revenue Hours]])</f>
        <v>74591.666666666672</v>
      </c>
      <c r="M33" s="246" t="str">
        <f>VLOOKUP(Ridership[[#This Row],[Agency]],Assumptions!$B$35:$C$73, 2, FALSE)</f>
        <v>Small Urban</v>
      </c>
      <c r="N33" s="235">
        <f>VRHsizing[[#This Row],[FY25 Revenue Hours]]-VRHsizing[[#This Row],[FY24 Revenue Hours]]</f>
        <v>1656</v>
      </c>
      <c r="O33" s="236">
        <f>N33/VRHsizing[[#This Row],[FY24 Revenue Hours]]</f>
        <v>2.1614848461116769E-2</v>
      </c>
    </row>
    <row r="34" spans="1:15">
      <c r="A34" s="208" t="s">
        <v>32</v>
      </c>
      <c r="B34" s="211">
        <v>16508</v>
      </c>
      <c r="C34" s="211">
        <v>17310</v>
      </c>
      <c r="D34" s="211">
        <v>20219</v>
      </c>
      <c r="E34" s="211">
        <v>25268</v>
      </c>
      <c r="F34" s="211">
        <v>27972</v>
      </c>
      <c r="G34" s="201" t="s">
        <v>227</v>
      </c>
      <c r="H34">
        <v>33</v>
      </c>
      <c r="I34">
        <v>10</v>
      </c>
      <c r="J34" s="267">
        <f>AVERAGE(VRHsizing[[#This Row],[FY23 Revenue Hours]:[FY25 Revenue Hours]])</f>
        <v>24486.333333333332</v>
      </c>
      <c r="K34" s="267">
        <f>AVERAGE(VRHsizing[[#This Row],[FY22 Revenue Hours2]:[FY24 Revenue Hours]])</f>
        <v>20932.333333333332</v>
      </c>
      <c r="L34" s="267">
        <f>AVERAGE(VRHsizing[[#This Row],[FY21 Revenue Hours]:[FY23 Revenue Hours]])</f>
        <v>18012.333333333332</v>
      </c>
      <c r="M34" s="246" t="str">
        <f>VLOOKUP(Ridership[[#This Row],[Agency]],Assumptions!$B$35:$C$73, 2, FALSE)</f>
        <v>Small Urban</v>
      </c>
      <c r="N34" s="235">
        <f>VRHsizing[[#This Row],[FY25 Revenue Hours]]-VRHsizing[[#This Row],[FY24 Revenue Hours]]</f>
        <v>2704</v>
      </c>
      <c r="O34" s="236">
        <f>N34/VRHsizing[[#This Row],[FY24 Revenue Hours]]</f>
        <v>0.10701282254234605</v>
      </c>
    </row>
    <row r="35" spans="1:15">
      <c r="A35" s="208" t="s">
        <v>24</v>
      </c>
      <c r="B35" s="211">
        <v>55888</v>
      </c>
      <c r="C35" s="211">
        <v>60586</v>
      </c>
      <c r="D35" s="211">
        <v>61652</v>
      </c>
      <c r="E35" s="211">
        <v>61710.71</v>
      </c>
      <c r="F35" s="211">
        <v>59749</v>
      </c>
      <c r="G35" s="201" t="s">
        <v>228</v>
      </c>
      <c r="H35">
        <v>34</v>
      </c>
      <c r="I35">
        <v>2</v>
      </c>
      <c r="J35" s="267">
        <f>AVERAGE(VRHsizing[[#This Row],[FY23 Revenue Hours]:[FY25 Revenue Hours]])</f>
        <v>61037.236666666664</v>
      </c>
      <c r="K35" s="267">
        <f>AVERAGE(VRHsizing[[#This Row],[FY22 Revenue Hours2]:[FY24 Revenue Hours]])</f>
        <v>61316.236666666664</v>
      </c>
      <c r="L35" s="267">
        <f>AVERAGE(VRHsizing[[#This Row],[FY21 Revenue Hours]:[FY23 Revenue Hours]])</f>
        <v>59375.333333333336</v>
      </c>
      <c r="M35" s="246" t="str">
        <f>VLOOKUP(Ridership[[#This Row],[Agency]],Assumptions!$B$35:$C$73, 2, FALSE)</f>
        <v>Rural</v>
      </c>
      <c r="N35" s="235">
        <f>VRHsizing[[#This Row],[FY25 Revenue Hours]]-VRHsizing[[#This Row],[FY24 Revenue Hours]]</f>
        <v>-1961.7099999999991</v>
      </c>
      <c r="O35" s="236">
        <f>N35/VRHsizing[[#This Row],[FY24 Revenue Hours]]</f>
        <v>-3.1788809430324153E-2</v>
      </c>
    </row>
    <row r="36" spans="1:15">
      <c r="A36" s="208" t="s">
        <v>57</v>
      </c>
      <c r="B36" s="211">
        <v>15493</v>
      </c>
      <c r="C36" s="211">
        <v>15570</v>
      </c>
      <c r="D36" s="211">
        <v>15538</v>
      </c>
      <c r="E36" s="211">
        <v>15534</v>
      </c>
      <c r="F36" s="211">
        <v>14739</v>
      </c>
      <c r="G36" s="201" t="s">
        <v>228</v>
      </c>
      <c r="H36">
        <v>35</v>
      </c>
      <c r="I36">
        <v>35</v>
      </c>
      <c r="J36" s="267">
        <f>AVERAGE(VRHsizing[[#This Row],[FY23 Revenue Hours]:[FY25 Revenue Hours]])</f>
        <v>15270.333333333334</v>
      </c>
      <c r="K36" s="267">
        <f>AVERAGE(VRHsizing[[#This Row],[FY22 Revenue Hours2]:[FY24 Revenue Hours]])</f>
        <v>15547.333333333334</v>
      </c>
      <c r="L36" s="267">
        <f>AVERAGE(VRHsizing[[#This Row],[FY21 Revenue Hours]:[FY23 Revenue Hours]])</f>
        <v>15533.666666666666</v>
      </c>
      <c r="M36" s="246" t="str">
        <f>VLOOKUP(Ridership[[#This Row],[Agency]],Assumptions!$B$35:$C$73, 2, FALSE)</f>
        <v>Rural</v>
      </c>
      <c r="N36" s="235">
        <f>VRHsizing[[#This Row],[FY25 Revenue Hours]]-VRHsizing[[#This Row],[FY24 Revenue Hours]]</f>
        <v>-795</v>
      </c>
      <c r="O36" s="236">
        <f>N36/VRHsizing[[#This Row],[FY24 Revenue Hours]]</f>
        <v>-5.1178061027423713E-2</v>
      </c>
    </row>
    <row r="37" spans="1:15">
      <c r="A37" s="208" t="s">
        <v>43</v>
      </c>
      <c r="B37" s="226">
        <v>34844</v>
      </c>
      <c r="C37" s="226">
        <v>39833</v>
      </c>
      <c r="D37" s="226">
        <v>46573</v>
      </c>
      <c r="E37" s="226">
        <v>46101.396664300002</v>
      </c>
      <c r="F37" s="211">
        <v>45862</v>
      </c>
      <c r="G37" s="201" t="s">
        <v>228</v>
      </c>
      <c r="H37">
        <v>36</v>
      </c>
      <c r="I37">
        <v>21</v>
      </c>
      <c r="J37" s="267">
        <f>AVERAGE(VRHsizing[[#This Row],[FY23 Revenue Hours]:[FY25 Revenue Hours]])</f>
        <v>46178.798888099998</v>
      </c>
      <c r="K37" s="267">
        <f>AVERAGE(VRHsizing[[#This Row],[FY22 Revenue Hours2]:[FY24 Revenue Hours]])</f>
        <v>44169.132221433334</v>
      </c>
      <c r="L37" s="267">
        <f>AVERAGE(VRHsizing[[#This Row],[FY21 Revenue Hours]:[FY23 Revenue Hours]])</f>
        <v>40416.666666666664</v>
      </c>
      <c r="M37" s="246" t="str">
        <f>VLOOKUP(Ridership[[#This Row],[Agency]],Assumptions!$B$35:$C$73, 2, FALSE)</f>
        <v>Rural</v>
      </c>
      <c r="N37" s="235">
        <f>VRHsizing[[#This Row],[FY25 Revenue Hours]]-VRHsizing[[#This Row],[FY24 Revenue Hours]]</f>
        <v>-239.39666430000216</v>
      </c>
      <c r="O37" s="236">
        <f>N37/VRHsizing[[#This Row],[FY24 Revenue Hours]]</f>
        <v>-5.1928288863618338E-3</v>
      </c>
    </row>
    <row r="38" spans="1:15">
      <c r="A38" s="208" t="s">
        <v>44</v>
      </c>
      <c r="B38" s="211">
        <v>5393</v>
      </c>
      <c r="C38" s="211">
        <v>5390</v>
      </c>
      <c r="D38" s="211">
        <v>5322</v>
      </c>
      <c r="E38" s="211">
        <v>5064</v>
      </c>
      <c r="F38" s="211">
        <v>5116</v>
      </c>
      <c r="G38" s="201" t="s">
        <v>228</v>
      </c>
      <c r="H38">
        <v>37</v>
      </c>
      <c r="I38">
        <v>22</v>
      </c>
      <c r="J38" s="267">
        <f>AVERAGE(VRHsizing[[#This Row],[FY23 Revenue Hours]:[FY25 Revenue Hours]])</f>
        <v>5167.333333333333</v>
      </c>
      <c r="K38" s="267">
        <f>AVERAGE(VRHsizing[[#This Row],[FY22 Revenue Hours2]:[FY24 Revenue Hours]])</f>
        <v>5258.666666666667</v>
      </c>
      <c r="L38" s="267">
        <f>AVERAGE(VRHsizing[[#This Row],[FY21 Revenue Hours]:[FY23 Revenue Hours]])</f>
        <v>5368.333333333333</v>
      </c>
      <c r="M38" s="246" t="str">
        <f>VLOOKUP(Ridership[[#This Row],[Agency]],Assumptions!$B$35:$C$73, 2, FALSE)</f>
        <v>Rural</v>
      </c>
      <c r="N38" s="235">
        <f>VRHsizing[[#This Row],[FY25 Revenue Hours]]-VRHsizing[[#This Row],[FY24 Revenue Hours]]</f>
        <v>52</v>
      </c>
      <c r="O38" s="236">
        <f>N38/VRHsizing[[#This Row],[FY24 Revenue Hours]]</f>
        <v>1.0268562401263823E-2</v>
      </c>
    </row>
    <row r="39" spans="1:15">
      <c r="A39" s="208" t="s">
        <v>52</v>
      </c>
      <c r="B39" s="211">
        <v>22816</v>
      </c>
      <c r="C39" s="211">
        <v>18141</v>
      </c>
      <c r="D39" s="211">
        <v>18247</v>
      </c>
      <c r="E39" s="211">
        <v>18443</v>
      </c>
      <c r="F39" s="211">
        <v>17965</v>
      </c>
      <c r="G39" s="201" t="s">
        <v>228</v>
      </c>
      <c r="H39">
        <v>38</v>
      </c>
      <c r="I39">
        <v>30</v>
      </c>
      <c r="J39" s="267">
        <f>AVERAGE(VRHsizing[[#This Row],[FY23 Revenue Hours]:[FY25 Revenue Hours]])</f>
        <v>18218.333333333332</v>
      </c>
      <c r="K39" s="267">
        <f>AVERAGE(VRHsizing[[#This Row],[FY22 Revenue Hours2]:[FY24 Revenue Hours]])</f>
        <v>18277</v>
      </c>
      <c r="L39" s="267">
        <f>AVERAGE(VRHsizing[[#This Row],[FY21 Revenue Hours]:[FY23 Revenue Hours]])</f>
        <v>19734.666666666668</v>
      </c>
      <c r="M39" s="246" t="str">
        <f>VLOOKUP(Ridership[[#This Row],[Agency]],Assumptions!$B$35:$C$73, 2, FALSE)</f>
        <v>Rural</v>
      </c>
      <c r="N39" s="235">
        <f>VRHsizing[[#This Row],[FY25 Revenue Hours]]-VRHsizing[[#This Row],[FY24 Revenue Hours]]</f>
        <v>-478</v>
      </c>
      <c r="O39" s="236">
        <f>N39/VRHsizing[[#This Row],[FY24 Revenue Hours]]</f>
        <v>-2.5917692349400858E-2</v>
      </c>
    </row>
    <row r="40" spans="1:15">
      <c r="A40" s="208" t="s">
        <v>60</v>
      </c>
      <c r="B40" s="211">
        <v>54180</v>
      </c>
      <c r="C40" s="211">
        <v>60519</v>
      </c>
      <c r="D40" s="226">
        <v>63759</v>
      </c>
      <c r="E40" s="211">
        <v>63064.05</v>
      </c>
      <c r="F40" s="211">
        <v>65376</v>
      </c>
      <c r="G40" s="201" t="s">
        <v>228</v>
      </c>
      <c r="H40">
        <v>39</v>
      </c>
      <c r="I40">
        <v>38</v>
      </c>
      <c r="J40" s="267">
        <f>AVERAGE(VRHsizing[[#This Row],[FY23 Revenue Hours]:[FY25 Revenue Hours]])</f>
        <v>64066.35</v>
      </c>
      <c r="K40" s="267">
        <f>AVERAGE(VRHsizing[[#This Row],[FY22 Revenue Hours2]:[FY24 Revenue Hours]])</f>
        <v>62447.35</v>
      </c>
      <c r="L40" s="267">
        <f>AVERAGE(VRHsizing[[#This Row],[FY21 Revenue Hours]:[FY23 Revenue Hours]])</f>
        <v>59486</v>
      </c>
      <c r="M40" s="246" t="str">
        <f>VLOOKUP(Ridership[[#This Row],[Agency]],Assumptions!$B$35:$C$73, 2, FALSE)</f>
        <v>Rural</v>
      </c>
      <c r="N40" s="235">
        <f>VRHsizing[[#This Row],[FY25 Revenue Hours]]-VRHsizing[[#This Row],[FY24 Revenue Hours]]</f>
        <v>2311.9499999999971</v>
      </c>
      <c r="O40" s="236">
        <f>N40/VRHsizing[[#This Row],[FY24 Revenue Hours]]</f>
        <v>3.6660347694129965E-2</v>
      </c>
    </row>
    <row r="41" spans="1:15">
      <c r="A41" s="208" t="s">
        <v>229</v>
      </c>
      <c r="B41" s="216">
        <f>SUM(B2:B40)</f>
        <v>4283987.6099999994</v>
      </c>
      <c r="C41" s="216">
        <f>SUM(C2:C40)</f>
        <v>4349114</v>
      </c>
      <c r="D41" s="216">
        <f>SUM(D2:D40)</f>
        <v>4474682</v>
      </c>
      <c r="E41" s="216">
        <f>SUM(E2:E40)</f>
        <v>4681838.6436643004</v>
      </c>
      <c r="F41" s="216">
        <f>SUM(F2:F40)</f>
        <v>4873590.9100194974</v>
      </c>
      <c r="G41" s="217" t="s">
        <v>173</v>
      </c>
      <c r="H41" s="26" t="s">
        <v>173</v>
      </c>
      <c r="I41" s="218" t="s">
        <v>173</v>
      </c>
      <c r="J41" s="872">
        <f>SUBTOTAL(109,VRHsizing[3-Year Average FY27])</f>
        <v>4676703.8512279298</v>
      </c>
      <c r="K41" s="872">
        <f>SUBTOTAL(109,VRHsizing[3-Year Average FY27])</f>
        <v>4676703.8512279298</v>
      </c>
      <c r="L41" s="872">
        <f>SUBTOTAL(109,VRHsizing[3-Year Average FY27])</f>
        <v>4676703.8512279298</v>
      </c>
      <c r="N41" s="235">
        <f>F41-E41</f>
        <v>191752.26635519695</v>
      </c>
      <c r="O41" s="236">
        <f>N41/E41</f>
        <v>4.0956615754941868E-2</v>
      </c>
    </row>
    <row r="42" spans="1:15">
      <c r="A42" s="19" t="s">
        <v>7</v>
      </c>
      <c r="B42" s="19"/>
      <c r="C42" s="20"/>
      <c r="D42" s="21"/>
      <c r="E42" s="22"/>
      <c r="F42" s="19"/>
      <c r="G42" s="19"/>
      <c r="H42" s="19"/>
      <c r="J42" s="908">
        <f>SUMIF(VRHsizing[Agency Type], $A42, VRHsizing[3-Year Average FY27])</f>
        <v>3620284.2756731655</v>
      </c>
      <c r="K42" s="908">
        <f>SUMIF(VRHsizing[Agency Type], $A42, VRHsizing[3-Year Average FY26])</f>
        <v>3477557.7690000003</v>
      </c>
      <c r="L42" s="908">
        <f>SUMIF(VRHsizing[Agency Type], $A42, VRHsizing[3-Year Average FY25])</f>
        <v>3369396.5366666666</v>
      </c>
    </row>
    <row r="43" spans="1:15">
      <c r="A43" s="19" t="s">
        <v>8</v>
      </c>
      <c r="B43" s="19"/>
      <c r="C43" s="22"/>
      <c r="D43" s="22"/>
      <c r="E43" s="22"/>
      <c r="F43" s="19"/>
      <c r="G43" s="19"/>
      <c r="H43" s="19"/>
      <c r="J43" s="908">
        <f>SUMIF(VRHsizing[Agency Type], $A43, VRHsizing[3-Year Average FY27])</f>
        <v>566284.26333333331</v>
      </c>
      <c r="K43" s="908">
        <f>SUMIF(VRHsizing[Agency Type], $A43, VRHsizing[3-Year Average FY26])</f>
        <v>538895.26333333342</v>
      </c>
      <c r="L43" s="908">
        <f>SUMIF(VRHsizing[Agency Type], $A43, VRHsizing[3-Year Average FY25])</f>
        <v>530320.66666666674</v>
      </c>
    </row>
    <row r="44" spans="1:15">
      <c r="A44" s="19" t="s">
        <v>9</v>
      </c>
      <c r="B44" s="19"/>
      <c r="C44" s="22"/>
      <c r="D44" s="22"/>
      <c r="E44" s="22"/>
      <c r="F44" s="19"/>
      <c r="G44" s="19"/>
      <c r="H44" s="19"/>
      <c r="J44" s="908">
        <f>SUMIF(VRHsizing[Agency Type], $A44, VRHsizing[3-Year Average FY27])</f>
        <v>490135.31222143327</v>
      </c>
      <c r="K44" s="908">
        <f>SUMIF(VRHsizing[Agency Type], $A44, VRHsizing[3-Year Average FY26])</f>
        <v>485425.18222143338</v>
      </c>
      <c r="L44" s="908">
        <f>SUMIF(VRHsizing[Agency Type], $A44, VRHsizing[3-Year Average FY25])</f>
        <v>469544.00000000006</v>
      </c>
    </row>
  </sheetData>
  <phoneticPr fontId="127" type="noConversion"/>
  <conditionalFormatting sqref="I2:I40">
    <cfRule type="cellIs" dxfId="29" priority="4" operator="lessThan">
      <formula>0</formula>
    </cfRule>
  </conditionalFormatting>
  <conditionalFormatting sqref="J2:L40">
    <cfRule type="cellIs" dxfId="28" priority="5" operator="lessThan">
      <formula>0</formula>
    </cfRule>
  </conditionalFormatting>
  <conditionalFormatting sqref="M2">
    <cfRule type="cellIs" dxfId="27" priority="1" operator="lessThan">
      <formula>0</formula>
    </cfRule>
  </conditionalFormatting>
  <conditionalFormatting sqref="N2:O41">
    <cfRule type="cellIs" dxfId="26" priority="2" operator="lessThan">
      <formula>0</formula>
    </cfRule>
    <cfRule type="cellIs" dxfId="25" priority="3" operator="greaterThan">
      <formula>0</formula>
    </cfRule>
  </conditionalFormatting>
  <pageMargins left="0.25" right="0.25" top="0.75" bottom="0.75" header="0.3" footer="0.3"/>
  <pageSetup scale="83" orientation="portrait"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935DD-9B83-466A-B033-903CCD4DE81D}">
  <sheetPr>
    <pageSetUpPr fitToPage="1"/>
  </sheetPr>
  <dimension ref="A1:S47"/>
  <sheetViews>
    <sheetView zoomScale="90" zoomScaleNormal="90" workbookViewId="0">
      <selection activeCell="F1" sqref="A1:F1048576"/>
    </sheetView>
  </sheetViews>
  <sheetFormatPr defaultColWidth="9.28515625" defaultRowHeight="14.25"/>
  <cols>
    <col min="1" max="1" width="48" style="23" bestFit="1" customWidth="1"/>
    <col min="2" max="2" width="19.85546875" style="23" customWidth="1"/>
    <col min="3" max="5" width="23.28515625" style="24" bestFit="1" customWidth="1"/>
    <col min="6" max="6" width="23.28515625" style="23" bestFit="1" customWidth="1"/>
    <col min="7" max="7" width="21.85546875" style="23" bestFit="1" customWidth="1"/>
    <col min="8" max="8" width="16.42578125" style="23" bestFit="1" customWidth="1"/>
    <col min="9" max="9" width="26.7109375" style="165" customWidth="1"/>
    <col min="10" max="10" width="22.42578125" style="165" customWidth="1"/>
    <col min="11" max="11" width="9.28515625" style="23"/>
    <col min="12" max="12" width="46.7109375" style="23" bestFit="1" customWidth="1"/>
    <col min="13" max="14" width="12.5703125" style="23" customWidth="1"/>
    <col min="15" max="15" width="11.85546875" style="23" bestFit="1" customWidth="1"/>
    <col min="16" max="17" width="9.28515625" style="23"/>
    <col min="18" max="18" width="44.28515625" style="23" bestFit="1" customWidth="1"/>
    <col min="19" max="19" width="16.7109375" style="23" bestFit="1" customWidth="1"/>
    <col min="20" max="16384" width="9.28515625" style="23"/>
  </cols>
  <sheetData>
    <row r="1" spans="1:19" ht="15">
      <c r="A1" s="231" t="s">
        <v>206</v>
      </c>
      <c r="B1" s="232" t="s">
        <v>233</v>
      </c>
      <c r="C1" s="232" t="s">
        <v>234</v>
      </c>
      <c r="D1" s="232" t="s">
        <v>161</v>
      </c>
      <c r="E1" s="232" t="s">
        <v>141</v>
      </c>
      <c r="F1" s="232" t="s">
        <v>97</v>
      </c>
      <c r="G1" s="214" t="s">
        <v>210</v>
      </c>
      <c r="H1" s="215" t="s">
        <v>211</v>
      </c>
      <c r="I1" s="215" t="s">
        <v>212</v>
      </c>
      <c r="R1" s="242"/>
      <c r="S1" s="242"/>
    </row>
    <row r="2" spans="1:19" s="19" customFormat="1" ht="15">
      <c r="A2" s="208" t="s">
        <v>23</v>
      </c>
      <c r="B2" s="208">
        <v>598768</v>
      </c>
      <c r="C2" s="225">
        <v>634178</v>
      </c>
      <c r="D2" s="225">
        <v>692104</v>
      </c>
      <c r="E2" s="225">
        <v>650766</v>
      </c>
      <c r="F2" s="211">
        <v>563585</v>
      </c>
      <c r="G2" s="201" t="s">
        <v>219</v>
      </c>
      <c r="H2">
        <v>1</v>
      </c>
      <c r="I2">
        <v>1</v>
      </c>
      <c r="J2" s="166"/>
      <c r="L2" s="238"/>
      <c r="M2" s="239"/>
      <c r="N2" s="239"/>
      <c r="O2" s="244"/>
      <c r="P2" s="245"/>
      <c r="R2" s="243"/>
      <c r="S2" s="244"/>
    </row>
    <row r="3" spans="1:19" s="19" customFormat="1" ht="15">
      <c r="A3" s="208" t="s">
        <v>27</v>
      </c>
      <c r="B3" s="208">
        <v>46763</v>
      </c>
      <c r="C3" s="210">
        <v>84107</v>
      </c>
      <c r="D3" s="210">
        <v>94333</v>
      </c>
      <c r="E3" s="210">
        <v>91473</v>
      </c>
      <c r="F3" s="211">
        <v>90570</v>
      </c>
      <c r="G3" s="201" t="s">
        <v>219</v>
      </c>
      <c r="H3">
        <v>2</v>
      </c>
      <c r="I3">
        <v>5</v>
      </c>
      <c r="J3" s="166"/>
      <c r="L3" s="238"/>
      <c r="M3" s="239"/>
      <c r="N3" s="239"/>
      <c r="O3" s="244"/>
      <c r="P3" s="245"/>
      <c r="R3" s="243"/>
      <c r="S3" s="244"/>
    </row>
    <row r="4" spans="1:19" s="19" customFormat="1" ht="15">
      <c r="A4" s="208" t="s">
        <v>35</v>
      </c>
      <c r="B4" s="208">
        <v>384307</v>
      </c>
      <c r="C4" s="211">
        <v>440288</v>
      </c>
      <c r="D4" s="211">
        <v>490148</v>
      </c>
      <c r="E4" s="211">
        <v>522054</v>
      </c>
      <c r="F4" s="211">
        <v>474357</v>
      </c>
      <c r="G4" s="201" t="s">
        <v>219</v>
      </c>
      <c r="H4">
        <v>3</v>
      </c>
      <c r="I4">
        <v>13</v>
      </c>
      <c r="J4" s="166"/>
      <c r="L4" s="238"/>
      <c r="M4" s="239"/>
      <c r="N4" s="239"/>
      <c r="O4" s="244"/>
      <c r="P4" s="245"/>
      <c r="R4" s="243"/>
      <c r="S4" s="244"/>
    </row>
    <row r="5" spans="1:19" s="19" customFormat="1" ht="15">
      <c r="A5" s="208" t="s">
        <v>45</v>
      </c>
      <c r="B5" s="208">
        <v>550975</v>
      </c>
      <c r="C5" s="211">
        <v>639628</v>
      </c>
      <c r="D5" s="211">
        <v>800372</v>
      </c>
      <c r="E5" s="211">
        <v>745438</v>
      </c>
      <c r="F5" s="211">
        <v>726302</v>
      </c>
      <c r="G5" s="201" t="s">
        <v>219</v>
      </c>
      <c r="H5">
        <v>4</v>
      </c>
      <c r="I5">
        <v>23</v>
      </c>
      <c r="J5" s="166"/>
      <c r="L5" s="238"/>
      <c r="M5" s="239"/>
      <c r="N5" s="239"/>
      <c r="O5" s="244"/>
      <c r="P5" s="245"/>
      <c r="R5" s="243"/>
      <c r="S5" s="244"/>
    </row>
    <row r="6" spans="1:19" s="19" customFormat="1" ht="15">
      <c r="A6" s="208" t="s">
        <v>58</v>
      </c>
      <c r="B6" s="208">
        <v>129731</v>
      </c>
      <c r="C6" s="211">
        <v>129480</v>
      </c>
      <c r="D6" s="211">
        <v>132943</v>
      </c>
      <c r="E6" s="211">
        <v>126970</v>
      </c>
      <c r="F6" s="211">
        <v>124910</v>
      </c>
      <c r="G6" s="201" t="s">
        <v>219</v>
      </c>
      <c r="H6">
        <v>5</v>
      </c>
      <c r="I6">
        <v>36</v>
      </c>
      <c r="J6" s="166"/>
      <c r="L6" s="238"/>
      <c r="M6" s="239"/>
      <c r="N6" s="239"/>
      <c r="O6" s="244"/>
      <c r="P6" s="245"/>
      <c r="R6" s="243"/>
      <c r="S6" s="244"/>
    </row>
    <row r="7" spans="1:19" s="19" customFormat="1" ht="15">
      <c r="A7" s="208" t="s">
        <v>26</v>
      </c>
      <c r="B7" s="208">
        <v>1043369</v>
      </c>
      <c r="C7" s="226">
        <v>1184761</v>
      </c>
      <c r="D7" s="226">
        <v>1242786</v>
      </c>
      <c r="E7" s="226">
        <v>1380275</v>
      </c>
      <c r="F7" s="211">
        <v>1616127</v>
      </c>
      <c r="G7" s="201" t="s">
        <v>220</v>
      </c>
      <c r="H7">
        <v>6</v>
      </c>
      <c r="I7">
        <v>4</v>
      </c>
      <c r="J7" s="166"/>
      <c r="L7" s="238"/>
      <c r="M7" s="239"/>
      <c r="N7" s="239"/>
      <c r="O7" s="244"/>
      <c r="P7" s="245"/>
      <c r="R7" s="243"/>
      <c r="S7" s="244"/>
    </row>
    <row r="8" spans="1:19" s="19" customFormat="1" ht="15">
      <c r="A8" s="208" t="s">
        <v>37</v>
      </c>
      <c r="B8" s="208">
        <v>610784</v>
      </c>
      <c r="C8" s="211">
        <v>598250</v>
      </c>
      <c r="D8" s="211">
        <v>548622</v>
      </c>
      <c r="E8" s="211">
        <v>554895</v>
      </c>
      <c r="F8" s="211">
        <v>532870</v>
      </c>
      <c r="G8" s="201" t="s">
        <v>221</v>
      </c>
      <c r="H8">
        <v>7</v>
      </c>
      <c r="I8">
        <v>15</v>
      </c>
      <c r="J8" s="166"/>
      <c r="L8" s="238"/>
      <c r="M8" s="239"/>
      <c r="N8" s="239"/>
      <c r="O8" s="244"/>
      <c r="P8" s="245"/>
      <c r="R8" s="243"/>
      <c r="S8" s="244"/>
    </row>
    <row r="9" spans="1:19" s="19" customFormat="1" ht="15">
      <c r="A9" s="208" t="s">
        <v>31</v>
      </c>
      <c r="B9" s="208">
        <v>368836</v>
      </c>
      <c r="C9" s="210">
        <v>415022</v>
      </c>
      <c r="D9" s="210">
        <v>442128</v>
      </c>
      <c r="E9" s="210">
        <v>463883</v>
      </c>
      <c r="F9" s="211">
        <v>470169</v>
      </c>
      <c r="G9" s="201" t="s">
        <v>222</v>
      </c>
      <c r="H9">
        <v>8</v>
      </c>
      <c r="I9">
        <v>9</v>
      </c>
      <c r="J9" s="166"/>
      <c r="L9" s="238"/>
      <c r="M9" s="239"/>
      <c r="N9" s="239"/>
      <c r="O9" s="244"/>
      <c r="P9" s="245"/>
      <c r="R9" s="243"/>
      <c r="S9" s="244"/>
    </row>
    <row r="10" spans="1:19" s="19" customFormat="1" ht="15">
      <c r="A10" s="208" t="s">
        <v>41</v>
      </c>
      <c r="B10" s="208">
        <v>48608</v>
      </c>
      <c r="C10" s="211">
        <v>52366</v>
      </c>
      <c r="D10" s="211">
        <v>54991</v>
      </c>
      <c r="E10" s="211">
        <v>53914</v>
      </c>
      <c r="F10" s="211">
        <v>53460</v>
      </c>
      <c r="G10" s="201" t="s">
        <v>222</v>
      </c>
      <c r="H10">
        <v>9</v>
      </c>
      <c r="I10">
        <v>19</v>
      </c>
      <c r="J10" s="166"/>
      <c r="L10" s="238"/>
      <c r="M10" s="239"/>
      <c r="N10" s="239"/>
      <c r="O10" s="244"/>
      <c r="P10" s="245"/>
      <c r="R10" s="243"/>
      <c r="S10" s="244"/>
    </row>
    <row r="11" spans="1:19" s="19" customFormat="1" ht="15">
      <c r="A11" s="208" t="s">
        <v>42</v>
      </c>
      <c r="B11" s="208">
        <v>13836191</v>
      </c>
      <c r="C11" s="211">
        <v>12904187</v>
      </c>
      <c r="D11" s="211">
        <v>13757219</v>
      </c>
      <c r="E11" s="211">
        <v>13608118.7366</v>
      </c>
      <c r="F11" s="211">
        <v>12877408</v>
      </c>
      <c r="G11" s="201" t="s">
        <v>222</v>
      </c>
      <c r="H11">
        <v>10</v>
      </c>
      <c r="I11">
        <v>20</v>
      </c>
      <c r="J11" s="166"/>
      <c r="L11" s="238"/>
      <c r="M11" s="239"/>
      <c r="N11" s="239"/>
      <c r="O11" s="244"/>
      <c r="P11" s="245"/>
      <c r="R11" s="243"/>
      <c r="S11" s="244"/>
    </row>
    <row r="12" spans="1:19" s="19" customFormat="1" ht="15">
      <c r="A12" s="208" t="s">
        <v>53</v>
      </c>
      <c r="B12" s="208">
        <v>463549</v>
      </c>
      <c r="C12" s="211">
        <v>483018</v>
      </c>
      <c r="D12" s="211">
        <v>510877</v>
      </c>
      <c r="E12" s="211">
        <v>529269</v>
      </c>
      <c r="F12" s="211">
        <v>543346</v>
      </c>
      <c r="G12" s="201" t="s">
        <v>222</v>
      </c>
      <c r="H12">
        <v>11</v>
      </c>
      <c r="I12">
        <v>31</v>
      </c>
      <c r="J12" s="166"/>
      <c r="L12" s="238"/>
      <c r="M12" s="239"/>
      <c r="N12" s="239"/>
      <c r="O12" s="244"/>
      <c r="P12" s="245"/>
      <c r="R12" s="243"/>
      <c r="S12" s="244"/>
    </row>
    <row r="13" spans="1:19" s="19" customFormat="1" ht="15">
      <c r="A13" s="208" t="s">
        <v>59</v>
      </c>
      <c r="B13" s="208">
        <v>9510</v>
      </c>
      <c r="C13" s="211">
        <v>6777</v>
      </c>
      <c r="D13" s="211">
        <v>4641</v>
      </c>
      <c r="E13" s="211">
        <v>13470</v>
      </c>
      <c r="F13" s="211">
        <v>13408</v>
      </c>
      <c r="G13" s="201" t="s">
        <v>222</v>
      </c>
      <c r="H13">
        <v>12</v>
      </c>
      <c r="I13">
        <v>37</v>
      </c>
      <c r="J13" s="166"/>
      <c r="L13" s="238"/>
      <c r="M13" s="239"/>
      <c r="N13" s="239"/>
      <c r="O13" s="244"/>
      <c r="P13" s="245"/>
      <c r="R13" s="243"/>
      <c r="S13" s="244"/>
    </row>
    <row r="14" spans="1:19" s="19" customFormat="1" ht="15">
      <c r="A14" s="208" t="s">
        <v>61</v>
      </c>
      <c r="B14" s="208">
        <v>1072707</v>
      </c>
      <c r="C14" s="211">
        <v>1099092</v>
      </c>
      <c r="D14" s="211">
        <v>1099660</v>
      </c>
      <c r="E14" s="211">
        <v>1127856</v>
      </c>
      <c r="F14" s="211">
        <v>1121781</v>
      </c>
      <c r="G14" s="201" t="s">
        <v>222</v>
      </c>
      <c r="H14">
        <v>13</v>
      </c>
      <c r="I14">
        <v>39</v>
      </c>
      <c r="J14" s="166"/>
      <c r="L14" s="238"/>
      <c r="M14" s="239"/>
      <c r="N14" s="239"/>
      <c r="O14" s="244"/>
      <c r="P14" s="245"/>
      <c r="R14" s="243"/>
      <c r="S14" s="244"/>
    </row>
    <row r="15" spans="1:19" s="19" customFormat="1" ht="15">
      <c r="A15" s="208" t="s">
        <v>34</v>
      </c>
      <c r="B15" s="208">
        <v>561833</v>
      </c>
      <c r="C15" s="211">
        <v>531990</v>
      </c>
      <c r="D15" s="211">
        <v>470807</v>
      </c>
      <c r="E15" s="211">
        <v>565576</v>
      </c>
      <c r="F15" s="211">
        <v>522819</v>
      </c>
      <c r="G15" s="201" t="s">
        <v>223</v>
      </c>
      <c r="H15">
        <v>14</v>
      </c>
      <c r="I15">
        <v>12</v>
      </c>
      <c r="J15" s="166"/>
      <c r="L15" s="238"/>
      <c r="M15" s="239"/>
      <c r="N15" s="239"/>
      <c r="O15" s="244"/>
      <c r="P15" s="245"/>
      <c r="R15" s="243"/>
      <c r="S15" s="244"/>
    </row>
    <row r="16" spans="1:19" s="19" customFormat="1" ht="15">
      <c r="A16" s="208" t="s">
        <v>36</v>
      </c>
      <c r="B16" s="208">
        <v>188179</v>
      </c>
      <c r="C16" s="211">
        <v>174059</v>
      </c>
      <c r="D16" s="211">
        <v>171222</v>
      </c>
      <c r="E16" s="211">
        <v>168612</v>
      </c>
      <c r="F16" s="211">
        <v>170330</v>
      </c>
      <c r="G16" s="201" t="s">
        <v>223</v>
      </c>
      <c r="H16">
        <v>15</v>
      </c>
      <c r="I16">
        <v>14</v>
      </c>
      <c r="J16" s="166"/>
      <c r="L16" s="238"/>
      <c r="M16" s="239"/>
      <c r="N16" s="239"/>
      <c r="O16" s="244"/>
      <c r="P16" s="245"/>
      <c r="R16" s="243"/>
      <c r="S16" s="244"/>
    </row>
    <row r="17" spans="1:19" s="19" customFormat="1" ht="15">
      <c r="A17" s="208" t="s">
        <v>38</v>
      </c>
      <c r="B17" s="208">
        <v>1070838</v>
      </c>
      <c r="C17" s="211">
        <v>1073547</v>
      </c>
      <c r="D17" s="211">
        <v>1150861</v>
      </c>
      <c r="E17" s="211">
        <v>1157573.97</v>
      </c>
      <c r="F17" s="211">
        <v>1183040</v>
      </c>
      <c r="G17" s="201" t="s">
        <v>223</v>
      </c>
      <c r="H17">
        <v>16</v>
      </c>
      <c r="I17">
        <v>16</v>
      </c>
      <c r="J17" s="166"/>
      <c r="L17" s="238"/>
      <c r="M17" s="239"/>
      <c r="N17" s="239"/>
      <c r="O17" s="244"/>
      <c r="P17" s="245"/>
      <c r="R17" s="243"/>
      <c r="S17" s="244"/>
    </row>
    <row r="18" spans="1:19" s="19" customFormat="1" ht="15">
      <c r="A18" s="208" t="s">
        <v>54</v>
      </c>
      <c r="B18" s="208">
        <v>49158</v>
      </c>
      <c r="C18" s="211">
        <v>48696</v>
      </c>
      <c r="D18" s="211">
        <v>48742</v>
      </c>
      <c r="E18" s="211">
        <v>50699</v>
      </c>
      <c r="F18" s="211">
        <v>52054</v>
      </c>
      <c r="G18" s="201" t="s">
        <v>223</v>
      </c>
      <c r="H18">
        <v>17</v>
      </c>
      <c r="I18">
        <v>32</v>
      </c>
      <c r="J18" s="166"/>
      <c r="L18" s="238"/>
      <c r="M18" s="239"/>
      <c r="N18" s="239"/>
      <c r="O18" s="244"/>
      <c r="P18" s="245"/>
      <c r="R18" s="243"/>
      <c r="S18" s="244"/>
    </row>
    <row r="19" spans="1:19" s="19" customFormat="1" ht="15">
      <c r="A19" s="208" t="s">
        <v>33</v>
      </c>
      <c r="B19" s="208">
        <v>2056022.5</v>
      </c>
      <c r="C19" s="226">
        <f>1820398</f>
        <v>1820398</v>
      </c>
      <c r="D19" s="226">
        <f>2090076</f>
        <v>2090076</v>
      </c>
      <c r="E19" s="226">
        <f>3306565</f>
        <v>3306565</v>
      </c>
      <c r="F19" s="233">
        <f>3402392</f>
        <v>3402392</v>
      </c>
      <c r="G19" s="201" t="s">
        <v>224</v>
      </c>
      <c r="H19">
        <v>18</v>
      </c>
      <c r="I19">
        <v>11</v>
      </c>
      <c r="J19" s="166"/>
      <c r="L19" s="238"/>
      <c r="M19" s="239"/>
      <c r="N19" s="239"/>
      <c r="O19" s="244"/>
      <c r="P19" s="245"/>
      <c r="R19" s="243"/>
      <c r="S19" s="244"/>
    </row>
    <row r="20" spans="1:19" s="19" customFormat="1" ht="15">
      <c r="A20" s="208" t="s">
        <v>46</v>
      </c>
      <c r="B20" s="208">
        <v>1815035</v>
      </c>
      <c r="C20" s="211">
        <v>2083544</v>
      </c>
      <c r="D20" s="211">
        <v>2205880</v>
      </c>
      <c r="E20" s="211">
        <v>2329537</v>
      </c>
      <c r="F20" s="211">
        <v>2247168</v>
      </c>
      <c r="G20" s="201" t="s">
        <v>224</v>
      </c>
      <c r="H20">
        <v>19</v>
      </c>
      <c r="I20">
        <v>24</v>
      </c>
      <c r="J20" s="166"/>
      <c r="L20" s="238"/>
      <c r="M20" s="239"/>
      <c r="N20" s="239"/>
      <c r="O20" s="244"/>
      <c r="P20" s="245"/>
      <c r="R20" s="243"/>
      <c r="S20" s="244"/>
    </row>
    <row r="21" spans="1:19" s="19" customFormat="1" ht="15">
      <c r="A21" s="208" t="s">
        <v>47</v>
      </c>
      <c r="B21" s="208">
        <v>1902798</v>
      </c>
      <c r="C21" s="211">
        <v>2503129</v>
      </c>
      <c r="D21" s="211">
        <v>3036654</v>
      </c>
      <c r="E21" s="211">
        <v>2865159</v>
      </c>
      <c r="F21" s="211">
        <v>2959703</v>
      </c>
      <c r="G21" s="201" t="s">
        <v>224</v>
      </c>
      <c r="H21">
        <v>20</v>
      </c>
      <c r="I21">
        <v>25</v>
      </c>
      <c r="J21" s="166"/>
      <c r="L21" s="238"/>
      <c r="M21" s="239"/>
      <c r="N21" s="239"/>
      <c r="O21" s="244"/>
      <c r="P21" s="245"/>
      <c r="R21" s="243"/>
      <c r="S21" s="244"/>
    </row>
    <row r="22" spans="1:19" s="19" customFormat="1" ht="15">
      <c r="A22" s="208" t="s">
        <v>48</v>
      </c>
      <c r="B22" s="208">
        <v>439054</v>
      </c>
      <c r="C22" s="211">
        <v>434291</v>
      </c>
      <c r="D22" s="211">
        <v>439291</v>
      </c>
      <c r="E22" s="211">
        <v>434414</v>
      </c>
      <c r="F22" s="211">
        <v>434479</v>
      </c>
      <c r="G22" s="201" t="s">
        <v>224</v>
      </c>
      <c r="H22">
        <v>21</v>
      </c>
      <c r="I22">
        <v>26</v>
      </c>
      <c r="J22" s="166"/>
      <c r="L22" s="238"/>
      <c r="M22" s="239"/>
      <c r="N22" s="239"/>
      <c r="O22" s="244"/>
      <c r="P22" s="245"/>
      <c r="R22" s="243"/>
      <c r="S22" s="244"/>
    </row>
    <row r="23" spans="1:19" s="19" customFormat="1" ht="15">
      <c r="A23" s="208" t="s">
        <v>49</v>
      </c>
      <c r="B23" s="208">
        <v>10038009</v>
      </c>
      <c r="C23" s="226">
        <f>10856360</f>
        <v>10856360</v>
      </c>
      <c r="D23" s="211">
        <v>11068404</v>
      </c>
      <c r="E23" s="211">
        <v>10820543.213</v>
      </c>
      <c r="F23" s="211">
        <v>11834233</v>
      </c>
      <c r="G23" s="201" t="s">
        <v>224</v>
      </c>
      <c r="H23">
        <v>22</v>
      </c>
      <c r="I23">
        <v>27</v>
      </c>
      <c r="J23" s="166"/>
      <c r="L23" s="238"/>
      <c r="M23" s="239"/>
      <c r="N23" s="239"/>
      <c r="O23" s="244"/>
      <c r="P23" s="245"/>
      <c r="R23" s="243"/>
      <c r="S23" s="244"/>
    </row>
    <row r="24" spans="1:19" s="19" customFormat="1" ht="15">
      <c r="A24" s="208" t="s">
        <v>50</v>
      </c>
      <c r="B24" s="208">
        <v>5052936.38</v>
      </c>
      <c r="C24" s="226">
        <f>3292747</f>
        <v>3292747</v>
      </c>
      <c r="D24" s="226">
        <f>3127398</f>
        <v>3127398</v>
      </c>
      <c r="E24" s="226">
        <f>3747819.65</f>
        <v>3747819.65</v>
      </c>
      <c r="F24" s="233">
        <f>4028184.95969473</f>
        <v>4028184.9596947301</v>
      </c>
      <c r="G24" s="201" t="s">
        <v>224</v>
      </c>
      <c r="H24">
        <v>23</v>
      </c>
      <c r="I24">
        <v>28</v>
      </c>
      <c r="J24" s="166"/>
      <c r="L24" s="238"/>
      <c r="M24" s="239"/>
      <c r="N24" s="239"/>
      <c r="O24" s="244"/>
      <c r="P24" s="245"/>
      <c r="R24" s="243"/>
      <c r="S24" s="244"/>
    </row>
    <row r="25" spans="1:19" s="19" customFormat="1" ht="15">
      <c r="A25" s="208" t="s">
        <v>29</v>
      </c>
      <c r="B25" s="208">
        <v>549049</v>
      </c>
      <c r="C25" s="211">
        <v>554292</v>
      </c>
      <c r="D25" s="211">
        <v>553318</v>
      </c>
      <c r="E25" s="211">
        <v>539337</v>
      </c>
      <c r="F25" s="211">
        <v>571373</v>
      </c>
      <c r="G25" s="201" t="s">
        <v>225</v>
      </c>
      <c r="H25">
        <v>24</v>
      </c>
      <c r="I25">
        <v>7</v>
      </c>
      <c r="J25" s="166"/>
      <c r="L25" s="238"/>
      <c r="M25" s="239"/>
      <c r="N25" s="239"/>
      <c r="O25" s="244"/>
      <c r="P25" s="245"/>
      <c r="R25" s="243"/>
      <c r="S25" s="244"/>
    </row>
    <row r="26" spans="1:19" s="19" customFormat="1" ht="15">
      <c r="A26" s="208" t="s">
        <v>39</v>
      </c>
      <c r="B26" s="208">
        <v>7290100</v>
      </c>
      <c r="C26" s="211">
        <v>7359404</v>
      </c>
      <c r="D26" s="226">
        <f>6987882</f>
        <v>6987882</v>
      </c>
      <c r="E26" s="226">
        <f>7664912</f>
        <v>7664912</v>
      </c>
      <c r="F26" s="233">
        <f>9029698</f>
        <v>9029698</v>
      </c>
      <c r="G26" s="201" t="s">
        <v>225</v>
      </c>
      <c r="H26">
        <v>25</v>
      </c>
      <c r="I26">
        <v>17</v>
      </c>
      <c r="J26" s="166"/>
      <c r="L26" s="238"/>
      <c r="M26" s="239"/>
      <c r="N26" s="239"/>
      <c r="O26" s="244"/>
      <c r="P26" s="245"/>
      <c r="R26" s="243"/>
      <c r="S26" s="244"/>
    </row>
    <row r="27" spans="1:19" s="19" customFormat="1" ht="15">
      <c r="A27" s="208" t="s">
        <v>55</v>
      </c>
      <c r="B27" s="208">
        <v>0</v>
      </c>
      <c r="C27" s="211">
        <v>0</v>
      </c>
      <c r="D27" s="211">
        <v>14369</v>
      </c>
      <c r="E27" s="211">
        <v>20921</v>
      </c>
      <c r="F27" s="211">
        <v>19549</v>
      </c>
      <c r="G27" s="201" t="s">
        <v>226</v>
      </c>
      <c r="H27">
        <v>26</v>
      </c>
      <c r="I27">
        <v>33</v>
      </c>
      <c r="J27" s="166"/>
      <c r="L27" s="238"/>
      <c r="M27" s="239"/>
      <c r="N27" s="239"/>
      <c r="O27" s="244"/>
      <c r="P27" s="245"/>
      <c r="R27" s="243"/>
      <c r="S27" s="244"/>
    </row>
    <row r="28" spans="1:19" s="19" customFormat="1" ht="15">
      <c r="A28" s="208" t="s">
        <v>56</v>
      </c>
      <c r="B28" s="208">
        <v>1082589</v>
      </c>
      <c r="C28" s="211">
        <v>1050017</v>
      </c>
      <c r="D28" s="211">
        <v>970481</v>
      </c>
      <c r="E28" s="211">
        <v>1022384</v>
      </c>
      <c r="F28" s="211">
        <v>1225247</v>
      </c>
      <c r="G28" s="201" t="s">
        <v>226</v>
      </c>
      <c r="H28">
        <v>27</v>
      </c>
      <c r="I28">
        <v>34</v>
      </c>
      <c r="J28" s="166"/>
      <c r="L28" s="238"/>
      <c r="M28" s="239"/>
      <c r="N28" s="239"/>
      <c r="O28" s="244"/>
      <c r="P28" s="245"/>
      <c r="R28" s="243"/>
      <c r="S28" s="244"/>
    </row>
    <row r="29" spans="1:19" s="19" customFormat="1" ht="15">
      <c r="A29" s="208" t="s">
        <v>30</v>
      </c>
      <c r="B29" s="208">
        <v>350787</v>
      </c>
      <c r="C29" s="211">
        <v>373643</v>
      </c>
      <c r="D29" s="211">
        <v>388317</v>
      </c>
      <c r="E29" s="211">
        <v>438033</v>
      </c>
      <c r="F29" s="211">
        <v>415651.78999999992</v>
      </c>
      <c r="G29" s="201" t="s">
        <v>226</v>
      </c>
      <c r="H29">
        <v>28</v>
      </c>
      <c r="I29">
        <v>8</v>
      </c>
      <c r="J29" s="166"/>
      <c r="L29" s="238"/>
      <c r="M29" s="239"/>
      <c r="N29" s="239"/>
      <c r="O29" s="244"/>
      <c r="P29" s="245"/>
      <c r="R29" s="243"/>
      <c r="S29" s="244"/>
    </row>
    <row r="30" spans="1:19" s="19" customFormat="1" ht="15">
      <c r="A30" s="208" t="s">
        <v>40</v>
      </c>
      <c r="B30" s="208">
        <v>2537776</v>
      </c>
      <c r="C30" s="211">
        <v>2582667</v>
      </c>
      <c r="D30" s="211">
        <v>2266478</v>
      </c>
      <c r="E30" s="211">
        <v>2359994</v>
      </c>
      <c r="F30" s="211">
        <v>2558671</v>
      </c>
      <c r="G30" s="201" t="s">
        <v>226</v>
      </c>
      <c r="H30">
        <v>29</v>
      </c>
      <c r="I30">
        <v>18</v>
      </c>
      <c r="J30" s="166"/>
      <c r="L30" s="238"/>
      <c r="M30" s="239"/>
      <c r="N30" s="239"/>
      <c r="O30" s="244"/>
      <c r="P30" s="245"/>
      <c r="R30" s="243"/>
      <c r="S30" s="244"/>
    </row>
    <row r="31" spans="1:19" s="19" customFormat="1" ht="15">
      <c r="A31" s="208" t="s">
        <v>51</v>
      </c>
      <c r="B31" s="208">
        <v>211357</v>
      </c>
      <c r="C31" s="211">
        <v>220116</v>
      </c>
      <c r="D31" s="211">
        <v>227896</v>
      </c>
      <c r="E31" s="211">
        <v>231250</v>
      </c>
      <c r="F31" s="211">
        <v>230357</v>
      </c>
      <c r="G31" s="201" t="s">
        <v>226</v>
      </c>
      <c r="H31">
        <v>30</v>
      </c>
      <c r="I31">
        <v>29</v>
      </c>
      <c r="J31" s="166"/>
      <c r="L31" s="238"/>
      <c r="M31" s="239"/>
      <c r="N31" s="239"/>
      <c r="O31" s="244"/>
      <c r="P31" s="245"/>
      <c r="R31" s="243"/>
      <c r="S31" s="244"/>
    </row>
    <row r="32" spans="1:19" s="19" customFormat="1" ht="15">
      <c r="A32" s="208" t="s">
        <v>25</v>
      </c>
      <c r="B32" s="208">
        <v>604900</v>
      </c>
      <c r="C32" s="211">
        <v>710177</v>
      </c>
      <c r="D32" s="211">
        <v>740596</v>
      </c>
      <c r="E32" s="211">
        <v>705618.94</v>
      </c>
      <c r="F32" s="211">
        <v>709247</v>
      </c>
      <c r="G32" s="201" t="s">
        <v>227</v>
      </c>
      <c r="H32">
        <v>31</v>
      </c>
      <c r="I32">
        <v>3</v>
      </c>
      <c r="J32" s="166"/>
      <c r="L32" s="238"/>
      <c r="M32" s="239"/>
      <c r="N32" s="239"/>
      <c r="O32" s="244"/>
      <c r="P32" s="245"/>
      <c r="R32" s="243"/>
      <c r="S32" s="244"/>
    </row>
    <row r="33" spans="1:19" s="19" customFormat="1" ht="15">
      <c r="A33" s="208" t="s">
        <v>28</v>
      </c>
      <c r="B33" s="208">
        <v>752668</v>
      </c>
      <c r="C33" s="211">
        <v>753636</v>
      </c>
      <c r="D33" s="211">
        <v>723645</v>
      </c>
      <c r="E33" s="211">
        <v>768657</v>
      </c>
      <c r="F33" s="211">
        <v>793294</v>
      </c>
      <c r="G33" s="201" t="s">
        <v>227</v>
      </c>
      <c r="H33">
        <v>32</v>
      </c>
      <c r="I33">
        <v>6</v>
      </c>
      <c r="J33" s="166"/>
      <c r="L33" s="238"/>
      <c r="M33" s="239"/>
      <c r="N33" s="239"/>
      <c r="O33" s="244"/>
      <c r="P33" s="245"/>
      <c r="R33" s="243"/>
      <c r="S33" s="244"/>
    </row>
    <row r="34" spans="1:19" s="19" customFormat="1" ht="15">
      <c r="A34" s="208" t="s">
        <v>32</v>
      </c>
      <c r="B34" s="208">
        <v>175322</v>
      </c>
      <c r="C34" s="211">
        <v>185237</v>
      </c>
      <c r="D34" s="211">
        <v>226791</v>
      </c>
      <c r="E34" s="211">
        <v>331246</v>
      </c>
      <c r="F34" s="211">
        <v>388329</v>
      </c>
      <c r="G34" s="201" t="s">
        <v>227</v>
      </c>
      <c r="H34">
        <v>33</v>
      </c>
      <c r="I34">
        <v>10</v>
      </c>
      <c r="J34" s="166"/>
      <c r="L34" s="238"/>
      <c r="M34" s="239"/>
      <c r="N34" s="239"/>
      <c r="O34" s="244"/>
      <c r="P34" s="245"/>
      <c r="R34" s="243"/>
      <c r="S34" s="244"/>
    </row>
    <row r="35" spans="1:19" s="19" customFormat="1" ht="15">
      <c r="A35" s="208" t="s">
        <v>24</v>
      </c>
      <c r="B35" s="208">
        <v>1280697</v>
      </c>
      <c r="C35" s="211">
        <v>1402170</v>
      </c>
      <c r="D35" s="211">
        <v>1393044</v>
      </c>
      <c r="E35" s="211">
        <v>1392527</v>
      </c>
      <c r="F35" s="211">
        <v>1316507</v>
      </c>
      <c r="G35" s="201" t="s">
        <v>228</v>
      </c>
      <c r="H35">
        <v>34</v>
      </c>
      <c r="I35">
        <v>2</v>
      </c>
      <c r="J35" s="166"/>
      <c r="L35" s="238"/>
      <c r="M35" s="239"/>
      <c r="N35" s="239"/>
      <c r="O35" s="244"/>
      <c r="P35" s="245"/>
      <c r="R35" s="243"/>
      <c r="S35" s="244"/>
    </row>
    <row r="36" spans="1:19" s="19" customFormat="1" ht="15">
      <c r="A36" s="208" t="s">
        <v>57</v>
      </c>
      <c r="B36" s="208">
        <v>410050</v>
      </c>
      <c r="C36" s="211">
        <v>414537</v>
      </c>
      <c r="D36" s="211">
        <v>418259</v>
      </c>
      <c r="E36" s="211">
        <v>413556</v>
      </c>
      <c r="F36" s="211">
        <v>375346</v>
      </c>
      <c r="G36" s="201" t="s">
        <v>228</v>
      </c>
      <c r="H36">
        <v>35</v>
      </c>
      <c r="I36">
        <v>35</v>
      </c>
      <c r="J36" s="166"/>
      <c r="L36" s="238"/>
      <c r="M36" s="239"/>
      <c r="N36" s="239"/>
      <c r="O36" s="244"/>
      <c r="P36" s="245"/>
      <c r="R36" s="243"/>
      <c r="S36" s="244"/>
    </row>
    <row r="37" spans="1:19" s="19" customFormat="1" ht="15">
      <c r="A37" s="208" t="s">
        <v>43</v>
      </c>
      <c r="B37" s="208">
        <v>723952</v>
      </c>
      <c r="C37" s="226">
        <v>813639</v>
      </c>
      <c r="D37" s="226">
        <v>941674</v>
      </c>
      <c r="E37" s="226">
        <v>906466.02099999995</v>
      </c>
      <c r="F37" s="211">
        <v>890440</v>
      </c>
      <c r="G37" s="201" t="s">
        <v>228</v>
      </c>
      <c r="H37">
        <v>36</v>
      </c>
      <c r="I37">
        <v>21</v>
      </c>
      <c r="J37" s="166"/>
      <c r="L37" s="238"/>
      <c r="M37" s="239"/>
      <c r="N37" s="239"/>
      <c r="O37" s="244"/>
      <c r="P37" s="245"/>
      <c r="R37" s="243"/>
      <c r="S37" s="244"/>
    </row>
    <row r="38" spans="1:19" s="19" customFormat="1" ht="15">
      <c r="A38" s="208" t="s">
        <v>44</v>
      </c>
      <c r="B38" s="208">
        <v>52022</v>
      </c>
      <c r="C38" s="211">
        <v>55690</v>
      </c>
      <c r="D38" s="211">
        <v>60529</v>
      </c>
      <c r="E38" s="211">
        <v>59926</v>
      </c>
      <c r="F38" s="211">
        <v>57889</v>
      </c>
      <c r="G38" s="201" t="s">
        <v>228</v>
      </c>
      <c r="H38">
        <v>37</v>
      </c>
      <c r="I38">
        <v>22</v>
      </c>
      <c r="J38" s="166"/>
      <c r="L38" s="238"/>
      <c r="M38" s="239"/>
      <c r="N38" s="239"/>
      <c r="O38" s="244"/>
      <c r="P38" s="245"/>
      <c r="R38" s="243"/>
      <c r="S38" s="244"/>
    </row>
    <row r="39" spans="1:19" s="19" customFormat="1" ht="15">
      <c r="A39" s="208" t="s">
        <v>52</v>
      </c>
      <c r="B39" s="208">
        <v>354203</v>
      </c>
      <c r="C39" s="211">
        <v>310870</v>
      </c>
      <c r="D39" s="211">
        <v>313578</v>
      </c>
      <c r="E39" s="211">
        <v>310461</v>
      </c>
      <c r="F39" s="211">
        <v>302041</v>
      </c>
      <c r="G39" s="201" t="s">
        <v>228</v>
      </c>
      <c r="H39">
        <v>38</v>
      </c>
      <c r="I39">
        <v>30</v>
      </c>
      <c r="J39" s="166"/>
      <c r="L39" s="238"/>
      <c r="M39" s="239"/>
      <c r="N39" s="239"/>
      <c r="O39" s="244"/>
      <c r="P39" s="245"/>
      <c r="R39" s="243"/>
      <c r="S39" s="244"/>
    </row>
    <row r="40" spans="1:19" s="19" customFormat="1" ht="15">
      <c r="A40" s="208" t="s">
        <v>60</v>
      </c>
      <c r="B40" s="208">
        <v>835707</v>
      </c>
      <c r="C40" s="211">
        <v>935668</v>
      </c>
      <c r="D40" s="226">
        <v>994681</v>
      </c>
      <c r="E40" s="211">
        <v>985112</v>
      </c>
      <c r="F40" s="211">
        <v>983647</v>
      </c>
      <c r="G40" s="201" t="s">
        <v>228</v>
      </c>
      <c r="H40">
        <v>39</v>
      </c>
      <c r="I40">
        <v>38</v>
      </c>
      <c r="J40" s="166"/>
      <c r="L40" s="238"/>
      <c r="M40" s="239"/>
      <c r="N40" s="239"/>
      <c r="O40" s="244"/>
      <c r="P40" s="245"/>
      <c r="R40" s="243"/>
      <c r="S40" s="244"/>
    </row>
    <row r="41" spans="1:19">
      <c r="A41" s="208" t="s">
        <v>229</v>
      </c>
      <c r="B41" s="870">
        <f>SUBTOTAL(109,VRM[FY21 Revenue Miles])</f>
        <v>59549139.880000003</v>
      </c>
      <c r="C41" s="216">
        <f>SUM(C2:C40)</f>
        <v>59211678</v>
      </c>
      <c r="D41" s="216">
        <f>SUM(D2:D40)</f>
        <v>60901697</v>
      </c>
      <c r="E41" s="216">
        <f>SUM(E2:E40)</f>
        <v>63465281.530599989</v>
      </c>
      <c r="F41" s="216">
        <f>SUM(F2:F40)</f>
        <v>65909982.749694727</v>
      </c>
      <c r="G41" s="217" t="s">
        <v>173</v>
      </c>
      <c r="H41" s="26" t="s">
        <v>173</v>
      </c>
      <c r="I41" s="218" t="s">
        <v>173</v>
      </c>
    </row>
    <row r="42" spans="1:19">
      <c r="C42" s="25"/>
      <c r="D42" s="21"/>
    </row>
    <row r="45" spans="1:19">
      <c r="F45" s="237"/>
    </row>
    <row r="46" spans="1:19">
      <c r="F46"/>
    </row>
    <row r="47" spans="1:19">
      <c r="F47" s="237"/>
    </row>
  </sheetData>
  <conditionalFormatting sqref="I2:I40">
    <cfRule type="cellIs" dxfId="24" priority="3" operator="lessThan">
      <formula>0</formula>
    </cfRule>
  </conditionalFormatting>
  <conditionalFormatting sqref="J2:J40">
    <cfRule type="cellIs" dxfId="23" priority="4" operator="lessThan">
      <formula>0</formula>
    </cfRule>
  </conditionalFormatting>
  <pageMargins left="0.25" right="0.25" top="0.75" bottom="0.75" header="0.3" footer="0.3"/>
  <pageSetup scale="83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8F64028E5BD499EC8204CB79B4088" ma:contentTypeVersion="5" ma:contentTypeDescription="Create a new document." ma:contentTypeScope="" ma:versionID="aa4026c30cb35ec791bbf349c051be67">
  <xsd:schema xmlns:xsd="http://www.w3.org/2001/XMLSchema" xmlns:xs="http://www.w3.org/2001/XMLSchema" xmlns:p="http://schemas.microsoft.com/office/2006/metadata/properties" xmlns:ns1="http://schemas.microsoft.com/sharepoint/v3" xmlns:ns2="a5c324cd-8edd-4443-96c0-49a336b05a99" targetNamespace="http://schemas.microsoft.com/office/2006/metadata/properties" ma:root="true" ma:fieldsID="2fa8313120732c9e06af3edeaf016be2" ns1:_="" ns2:_="">
    <xsd:import namespace="http://schemas.microsoft.com/sharepoint/v3"/>
    <xsd:import namespace="a5c324cd-8edd-4443-96c0-49a336b05a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324cd-8edd-4443-96c0-49a336b05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9414CF0-1619-4B5E-90C2-9F2670CE86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0E5545-2D2A-456D-9F82-90DFDA7239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c324cd-8edd-4443-96c0-49a336b05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DCC06F-A564-4656-AC40-6D0877FC4FB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5563d9c4-1af6-4d5e-894d-8f5a4315f709}" enabled="1" method="Privileged" siteId="{3667e201-cbdc-48b3-9b42-5d2d3f16e2a9}" removed="0"/>
  <clbl:label id="{620ae5a9-4ec1-4fa0-8641-5d9f386c7309}" enabled="0" method="" siteId="{620ae5a9-4ec1-4fa0-8641-5d9f386c73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Assumptions</vt:lpstr>
      <vt:lpstr>LargeUrban</vt:lpstr>
      <vt:lpstr>SmallUrban</vt:lpstr>
      <vt:lpstr>Rural</vt:lpstr>
      <vt:lpstr>PMT</vt:lpstr>
      <vt:lpstr>Ridership</vt:lpstr>
      <vt:lpstr>Revenue Hours</vt:lpstr>
      <vt:lpstr>Revenue Hours - Sizing</vt:lpstr>
      <vt:lpstr>Revenue Miles</vt:lpstr>
      <vt:lpstr>Revenue Miles - Sizing</vt:lpstr>
      <vt:lpstr>Op Cost - Performance</vt:lpstr>
      <vt:lpstr>Allocation Calculations_FY27</vt:lpstr>
      <vt:lpstr>Allocation Calculations_FY26</vt:lpstr>
      <vt:lpstr>Allocation Calculations_FY25</vt:lpstr>
      <vt:lpstr>Op Cost - Sizing (Reimbursable)</vt:lpstr>
      <vt:lpstr>Op Cost for Performance</vt:lpstr>
      <vt:lpstr>Order Key</vt:lpstr>
      <vt:lpstr>Commuter Rail Pool</vt:lpstr>
      <vt:lpstr>LargeUrban!Print_Area</vt:lpstr>
      <vt:lpstr>Rural!Print_Area</vt:lpstr>
      <vt:lpstr>SmallUrban!Print_Area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yy-DRPT-VB.NET</dc:creator>
  <cp:keywords/>
  <dc:description/>
  <cp:lastModifiedBy>Sparks, Grant (DRPT)</cp:lastModifiedBy>
  <cp:revision/>
  <dcterms:created xsi:type="dcterms:W3CDTF">1996-10-14T23:33:28Z</dcterms:created>
  <dcterms:modified xsi:type="dcterms:W3CDTF">2026-06-26T14:23:41Z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0x010100F058F64028E5BD499EC8204CB79B4088</vt:lpwstr>
  </property>
</Properties>
</file>